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rudot\Documents\MCTC\"/>
    </mc:Choice>
  </mc:AlternateContent>
  <xr:revisionPtr revIDLastSave="0" documentId="13_ncr:1_{66479D74-ED1D-4EB7-9EE5-B3C64DBBFD28}" xr6:coauthVersionLast="44" xr6:coauthVersionMax="44" xr10:uidLastSave="{00000000-0000-0000-0000-000000000000}"/>
  <bookViews>
    <workbookView xWindow="33045" yWindow="2445" windowWidth="22095" windowHeight="10755" activeTab="1" xr2:uid="{00000000-000D-0000-FFFF-FFFF00000000}"/>
  </bookViews>
  <sheets>
    <sheet name="Mid Year Budget _ Cash Flows " sheetId="13" r:id="rId1"/>
    <sheet name="Cashflow Projection 022920" sheetId="16" r:id="rId2"/>
    <sheet name="Mid Year Proj-Actual 022920" sheetId="14" r:id="rId3"/>
    <sheet name="Mid Year Budget _ P&amp;L" sheetId="15" r:id="rId4"/>
    <sheet name="BB Example 3 _ Cash Flows" sheetId="12" r:id="rId5"/>
    <sheet name="BB Example 3 _ P&amp;L" sheetId="11" r:id="rId6"/>
    <sheet name="BB Example 2 _ Cash Flows" sheetId="9" r:id="rId7"/>
    <sheet name="BB Example 2 _ P&amp;L" sheetId="10" r:id="rId8"/>
    <sheet name="BB Example 4 _ Cash Flows" sheetId="7" r:id="rId9"/>
    <sheet name="BB Example 4 _ P&amp;L " sheetId="8" r:id="rId10"/>
    <sheet name="Example 1 _ Cash Flows" sheetId="2" r:id="rId11"/>
    <sheet name="Example 1 _ P&amp;L" sheetId="1" r:id="rId12"/>
    <sheet name="CCD - Mnthly Bills" sheetId="3" r:id="rId13"/>
    <sheet name="TS 2019_2020 Est Travel" sheetId="5" r:id="rId14"/>
    <sheet name="MMWW Repayment Sch" sheetId="6" r:id="rId15"/>
  </sheets>
  <externalReferences>
    <externalReference r:id="rId16"/>
  </externalReferences>
  <definedNames>
    <definedName name="_xlnm.Print_Area" localSheetId="6">'BB Example 2 _ Cash Flows'!$A$1:$J$165</definedName>
    <definedName name="_xlnm.Print_Area" localSheetId="7">'BB Example 2 _ P&amp;L'!$A$1:$O$102</definedName>
    <definedName name="_xlnm.Print_Area" localSheetId="4">'BB Example 3 _ Cash Flows'!$A$1:$J$175</definedName>
    <definedName name="_xlnm.Print_Area" localSheetId="5">'BB Example 3 _ P&amp;L'!$A$1:$O$102</definedName>
    <definedName name="_xlnm.Print_Area" localSheetId="8">'BB Example 4 _ Cash Flows'!$A$1:$N$170</definedName>
    <definedName name="_xlnm.Print_Area" localSheetId="9">'BB Example 4 _ P&amp;L '!$A$1:$O$102</definedName>
    <definedName name="_xlnm.Print_Area" localSheetId="1">'Cashflow Projection 022920'!$A$1:$G$29</definedName>
    <definedName name="_xlnm.Print_Area" localSheetId="12">'CCD - Mnthly Bills'!$A$1:$K$21</definedName>
    <definedName name="_xlnm.Print_Area" localSheetId="10">'Example 1 _ Cash Flows'!$A$1:$J$168</definedName>
    <definedName name="_xlnm.Print_Area" localSheetId="11">'Example 1 _ P&amp;L'!$A$1:$O$101</definedName>
    <definedName name="_xlnm.Print_Area" localSheetId="0">'Mid Year Budget _ Cash Flows '!$A$1:$J$191</definedName>
    <definedName name="_xlnm.Print_Area" localSheetId="3">'Mid Year Budget _ P&amp;L'!$A$1:$N$102</definedName>
    <definedName name="_xlnm.Print_Area" localSheetId="2">'Mid Year Proj-Actual 022920'!$A$1:$N$104</definedName>
    <definedName name="_xlnm.Print_Area" localSheetId="14">'MMWW Repayment Sch'!$A$1:$I$19</definedName>
    <definedName name="_xlnm.Print_Area" localSheetId="13">'TS 2019_2020 Est Travel'!$A$1:$H$42</definedName>
    <definedName name="_xlnm.Print_Titles" localSheetId="2">'Mid Year Proj-Actual 022920'!$1:$5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6" l="1"/>
  <c r="C7" i="16"/>
  <c r="F8" i="16"/>
  <c r="G8" i="16" s="1"/>
  <c r="L14" i="16" l="1"/>
  <c r="K13" i="16"/>
  <c r="C10" i="16" l="1"/>
  <c r="C12" i="16"/>
  <c r="B12" i="16"/>
  <c r="C27" i="16"/>
  <c r="D27" i="16"/>
  <c r="E27" i="16"/>
  <c r="F27" i="16"/>
  <c r="G27" i="16"/>
  <c r="B27" i="16"/>
  <c r="G12" i="16" l="1"/>
  <c r="G15" i="16" s="1"/>
  <c r="G28" i="16" s="1"/>
  <c r="F12" i="16"/>
  <c r="F15" i="16" s="1"/>
  <c r="F28" i="16" s="1"/>
  <c r="E12" i="16"/>
  <c r="D15" i="16"/>
  <c r="D28" i="16" s="1"/>
  <c r="C15" i="16"/>
  <c r="C28" i="16" s="1"/>
  <c r="B15" i="16"/>
  <c r="K86" i="14"/>
  <c r="L86" i="14"/>
  <c r="M86" i="14"/>
  <c r="J86" i="14"/>
  <c r="C86" i="14"/>
  <c r="D86" i="14"/>
  <c r="E86" i="14"/>
  <c r="F86" i="14"/>
  <c r="G86" i="14"/>
  <c r="H86" i="14"/>
  <c r="I86" i="14"/>
  <c r="B86" i="14"/>
  <c r="C49" i="14"/>
  <c r="D49" i="14"/>
  <c r="E49" i="14"/>
  <c r="F49" i="14"/>
  <c r="G49" i="14"/>
  <c r="H49" i="14"/>
  <c r="I49" i="14"/>
  <c r="J49" i="14"/>
  <c r="K49" i="14"/>
  <c r="L49" i="14"/>
  <c r="M49" i="14"/>
  <c r="B49" i="14"/>
  <c r="S45" i="14"/>
  <c r="N45" i="14"/>
  <c r="F96" i="15"/>
  <c r="P95" i="15"/>
  <c r="G95" i="15"/>
  <c r="F95" i="15"/>
  <c r="B95" i="15"/>
  <c r="M94" i="15"/>
  <c r="L94" i="15"/>
  <c r="K94" i="15"/>
  <c r="J94" i="15"/>
  <c r="I94" i="15"/>
  <c r="H94" i="15"/>
  <c r="G94" i="15"/>
  <c r="F94" i="15"/>
  <c r="E94" i="15"/>
  <c r="D94" i="15"/>
  <c r="C94" i="15"/>
  <c r="B94" i="15"/>
  <c r="P93" i="15"/>
  <c r="N93" i="15"/>
  <c r="F93" i="15"/>
  <c r="M92" i="15"/>
  <c r="L92" i="15"/>
  <c r="K92" i="15"/>
  <c r="J92" i="15"/>
  <c r="I92" i="15"/>
  <c r="H92" i="15"/>
  <c r="G92" i="15"/>
  <c r="F92" i="15"/>
  <c r="E92" i="15"/>
  <c r="D92" i="15"/>
  <c r="C92" i="15"/>
  <c r="B92" i="15"/>
  <c r="P91" i="15"/>
  <c r="E91" i="15"/>
  <c r="B91" i="15"/>
  <c r="N91" i="15" s="1"/>
  <c r="M90" i="15"/>
  <c r="L90" i="15"/>
  <c r="K90" i="15"/>
  <c r="J90" i="15"/>
  <c r="I90" i="15"/>
  <c r="G90" i="15"/>
  <c r="F90" i="15"/>
  <c r="E90" i="15"/>
  <c r="D90" i="15"/>
  <c r="C90" i="15"/>
  <c r="B90" i="15"/>
  <c r="M89" i="15"/>
  <c r="L89" i="15"/>
  <c r="K89" i="15"/>
  <c r="J89" i="15"/>
  <c r="I89" i="15"/>
  <c r="H89" i="15"/>
  <c r="G89" i="15"/>
  <c r="F89" i="15"/>
  <c r="E89" i="15"/>
  <c r="D89" i="15"/>
  <c r="C89" i="15"/>
  <c r="B89" i="15"/>
  <c r="M88" i="15"/>
  <c r="L88" i="15"/>
  <c r="K88" i="15"/>
  <c r="J88" i="15"/>
  <c r="I88" i="15"/>
  <c r="H88" i="15" s="1"/>
  <c r="G88" i="15"/>
  <c r="F88" i="15"/>
  <c r="E88" i="15"/>
  <c r="D88" i="15"/>
  <c r="C88" i="15"/>
  <c r="B88" i="15"/>
  <c r="M87" i="15"/>
  <c r="L87" i="15"/>
  <c r="K87" i="15"/>
  <c r="J87" i="15"/>
  <c r="I87" i="15"/>
  <c r="H87" i="15"/>
  <c r="G87" i="15"/>
  <c r="G96" i="15" s="1"/>
  <c r="F87" i="15"/>
  <c r="E87" i="15"/>
  <c r="D87" i="15"/>
  <c r="D96" i="15" s="1"/>
  <c r="C87" i="15"/>
  <c r="C96" i="15" s="1"/>
  <c r="B87" i="15"/>
  <c r="P86" i="15"/>
  <c r="N86" i="15"/>
  <c r="P83" i="15"/>
  <c r="G83" i="15"/>
  <c r="F83" i="15"/>
  <c r="E83" i="15"/>
  <c r="D83" i="15"/>
  <c r="C83" i="15"/>
  <c r="B83" i="15"/>
  <c r="N83" i="15" s="1"/>
  <c r="M82" i="15"/>
  <c r="L82" i="15"/>
  <c r="K82" i="15"/>
  <c r="J82" i="15"/>
  <c r="I82" i="15"/>
  <c r="H82" i="15"/>
  <c r="G82" i="15"/>
  <c r="F82" i="15"/>
  <c r="E82" i="15"/>
  <c r="D82" i="15"/>
  <c r="C82" i="15"/>
  <c r="B82" i="15"/>
  <c r="M81" i="15"/>
  <c r="L81" i="15"/>
  <c r="K81" i="15"/>
  <c r="J81" i="15"/>
  <c r="I81" i="15"/>
  <c r="H81" i="15"/>
  <c r="G81" i="15"/>
  <c r="G84" i="15" s="1"/>
  <c r="F81" i="15"/>
  <c r="E81" i="15"/>
  <c r="D81" i="15"/>
  <c r="C81" i="15"/>
  <c r="B81" i="15"/>
  <c r="P80" i="15"/>
  <c r="C80" i="15"/>
  <c r="N80" i="15" s="1"/>
  <c r="M79" i="15"/>
  <c r="L79" i="15"/>
  <c r="K79" i="15"/>
  <c r="J79" i="15"/>
  <c r="I79" i="15"/>
  <c r="H79" i="15"/>
  <c r="G79" i="15"/>
  <c r="F79" i="15"/>
  <c r="E79" i="15"/>
  <c r="D79" i="15"/>
  <c r="C79" i="15"/>
  <c r="B79" i="15"/>
  <c r="P78" i="15"/>
  <c r="N78" i="15"/>
  <c r="B78" i="15"/>
  <c r="M77" i="15"/>
  <c r="L77" i="15"/>
  <c r="K77" i="15"/>
  <c r="J77" i="15"/>
  <c r="I77" i="15"/>
  <c r="H77" i="15"/>
  <c r="G77" i="15"/>
  <c r="F77" i="15"/>
  <c r="F84" i="15" s="1"/>
  <c r="E77" i="15"/>
  <c r="E84" i="15" s="1"/>
  <c r="D77" i="15"/>
  <c r="D84" i="15" s="1"/>
  <c r="C77" i="15"/>
  <c r="B77" i="15"/>
  <c r="B84" i="15" s="1"/>
  <c r="P76" i="15"/>
  <c r="N76" i="15"/>
  <c r="M74" i="15"/>
  <c r="L74" i="15"/>
  <c r="K74" i="15"/>
  <c r="J74" i="15"/>
  <c r="I74" i="15"/>
  <c r="G74" i="15"/>
  <c r="F74" i="15"/>
  <c r="E74" i="15"/>
  <c r="D74" i="15"/>
  <c r="C74" i="15"/>
  <c r="B74" i="15"/>
  <c r="N74" i="15" s="1"/>
  <c r="H73" i="15"/>
  <c r="P73" i="15" s="1"/>
  <c r="G73" i="15"/>
  <c r="F73" i="15"/>
  <c r="E73" i="15"/>
  <c r="D73" i="15"/>
  <c r="C73" i="15"/>
  <c r="N73" i="15" s="1"/>
  <c r="B73" i="15"/>
  <c r="H72" i="15"/>
  <c r="P72" i="15" s="1"/>
  <c r="G72" i="15"/>
  <c r="F72" i="15"/>
  <c r="E72" i="15"/>
  <c r="D72" i="15"/>
  <c r="C72" i="15"/>
  <c r="B72" i="15"/>
  <c r="P71" i="15"/>
  <c r="G71" i="15"/>
  <c r="F71" i="15"/>
  <c r="E71" i="15"/>
  <c r="D71" i="15"/>
  <c r="N71" i="15" s="1"/>
  <c r="C71" i="15"/>
  <c r="H70" i="15"/>
  <c r="B70" i="15"/>
  <c r="P69" i="15"/>
  <c r="E69" i="15"/>
  <c r="N69" i="15" s="1"/>
  <c r="C69" i="15"/>
  <c r="B69" i="15"/>
  <c r="M68" i="15"/>
  <c r="L68" i="15"/>
  <c r="K68" i="15"/>
  <c r="J68" i="15"/>
  <c r="I68" i="15"/>
  <c r="H68" i="15"/>
  <c r="G68" i="15"/>
  <c r="F68" i="15"/>
  <c r="E68" i="15"/>
  <c r="D68" i="15"/>
  <c r="C68" i="15"/>
  <c r="B68" i="15"/>
  <c r="M67" i="15"/>
  <c r="L67" i="15"/>
  <c r="K67" i="15"/>
  <c r="J67" i="15"/>
  <c r="I67" i="15"/>
  <c r="H67" i="15"/>
  <c r="P67" i="15" s="1"/>
  <c r="G67" i="15"/>
  <c r="F67" i="15"/>
  <c r="E67" i="15"/>
  <c r="D67" i="15"/>
  <c r="C67" i="15"/>
  <c r="B67" i="15"/>
  <c r="P66" i="15"/>
  <c r="N66" i="15"/>
  <c r="H66" i="15"/>
  <c r="G66" i="15"/>
  <c r="E66" i="15"/>
  <c r="P65" i="15"/>
  <c r="H65" i="15"/>
  <c r="G65" i="15"/>
  <c r="G75" i="15" s="1"/>
  <c r="F65" i="15"/>
  <c r="N65" i="15" s="1"/>
  <c r="M64" i="15"/>
  <c r="L64" i="15"/>
  <c r="K64" i="15"/>
  <c r="J64" i="15"/>
  <c r="I64" i="15"/>
  <c r="H64" i="15"/>
  <c r="F64" i="15"/>
  <c r="E64" i="15"/>
  <c r="D64" i="15"/>
  <c r="C64" i="15"/>
  <c r="C75" i="15" s="1"/>
  <c r="B64" i="15"/>
  <c r="M63" i="15"/>
  <c r="L63" i="15"/>
  <c r="L75" i="15" s="1"/>
  <c r="K63" i="15"/>
  <c r="J63" i="15"/>
  <c r="I63" i="15"/>
  <c r="P62" i="15"/>
  <c r="N62" i="15"/>
  <c r="M59" i="15"/>
  <c r="L59" i="15"/>
  <c r="K59" i="15"/>
  <c r="J59" i="15"/>
  <c r="I59" i="15"/>
  <c r="H59" i="15"/>
  <c r="G59" i="15"/>
  <c r="F59" i="15"/>
  <c r="E59" i="15"/>
  <c r="D59" i="15"/>
  <c r="C59" i="15"/>
  <c r="B59" i="15"/>
  <c r="M58" i="15"/>
  <c r="M60" i="15" s="1"/>
  <c r="L58" i="15"/>
  <c r="L60" i="15" s="1"/>
  <c r="K58" i="15"/>
  <c r="K60" i="15" s="1"/>
  <c r="J58" i="15"/>
  <c r="J60" i="15" s="1"/>
  <c r="I58" i="15"/>
  <c r="H58" i="15"/>
  <c r="G58" i="15"/>
  <c r="F58" i="15"/>
  <c r="E58" i="15"/>
  <c r="D58" i="15"/>
  <c r="D60" i="15" s="1"/>
  <c r="C58" i="15"/>
  <c r="B58" i="15"/>
  <c r="B60" i="15" s="1"/>
  <c r="I57" i="15"/>
  <c r="I60" i="15" s="1"/>
  <c r="H57" i="15"/>
  <c r="G57" i="15"/>
  <c r="G60" i="15" s="1"/>
  <c r="F57" i="15"/>
  <c r="F60" i="15" s="1"/>
  <c r="E57" i="15"/>
  <c r="E60" i="15" s="1"/>
  <c r="D57" i="15"/>
  <c r="C57" i="15"/>
  <c r="C60" i="15" s="1"/>
  <c r="P56" i="15"/>
  <c r="N56" i="15"/>
  <c r="E55" i="15"/>
  <c r="P54" i="15"/>
  <c r="M54" i="15"/>
  <c r="L54" i="15"/>
  <c r="K54" i="15"/>
  <c r="J54" i="15"/>
  <c r="I54" i="15"/>
  <c r="H54" i="15"/>
  <c r="G54" i="15"/>
  <c r="N54" i="15" s="1"/>
  <c r="M53" i="15"/>
  <c r="L53" i="15"/>
  <c r="K53" i="15"/>
  <c r="J53" i="15"/>
  <c r="I53" i="15"/>
  <c r="H53" i="15"/>
  <c r="G53" i="15"/>
  <c r="E53" i="15"/>
  <c r="B53" i="15"/>
  <c r="M52" i="15"/>
  <c r="L52" i="15"/>
  <c r="K52" i="15"/>
  <c r="J52" i="15"/>
  <c r="I52" i="15"/>
  <c r="H52" i="15"/>
  <c r="G52" i="15"/>
  <c r="F52" i="15"/>
  <c r="F55" i="15" s="1"/>
  <c r="F61" i="15" s="1"/>
  <c r="E52" i="15"/>
  <c r="D52" i="15"/>
  <c r="C52" i="15"/>
  <c r="C55" i="15" s="1"/>
  <c r="C61" i="15" s="1"/>
  <c r="B52" i="15"/>
  <c r="M51" i="15"/>
  <c r="L51" i="15"/>
  <c r="L55" i="15" s="1"/>
  <c r="K51" i="15"/>
  <c r="J51" i="15"/>
  <c r="I51" i="15"/>
  <c r="H51" i="15"/>
  <c r="H55" i="15" s="1"/>
  <c r="G51" i="15"/>
  <c r="G55" i="15" s="1"/>
  <c r="G61" i="15" s="1"/>
  <c r="E51" i="15"/>
  <c r="D51" i="15"/>
  <c r="D55" i="15" s="1"/>
  <c r="B51" i="15"/>
  <c r="B55" i="15" s="1"/>
  <c r="N50" i="15"/>
  <c r="N49" i="15"/>
  <c r="F48" i="15"/>
  <c r="G47" i="15"/>
  <c r="C47" i="15"/>
  <c r="E46" i="15"/>
  <c r="N46" i="15" s="1"/>
  <c r="M45" i="15"/>
  <c r="L45" i="15"/>
  <c r="K45" i="15"/>
  <c r="J45" i="15"/>
  <c r="I45" i="15"/>
  <c r="G45" i="15"/>
  <c r="F45" i="15"/>
  <c r="F47" i="15" s="1"/>
  <c r="D45" i="15"/>
  <c r="C45" i="15"/>
  <c r="B45" i="15"/>
  <c r="J44" i="15"/>
  <c r="N44" i="15" s="1"/>
  <c r="B44" i="15"/>
  <c r="M43" i="15"/>
  <c r="J43" i="15"/>
  <c r="I43" i="15"/>
  <c r="H43" i="15"/>
  <c r="H47" i="15" s="1"/>
  <c r="D43" i="15"/>
  <c r="N43" i="15" s="1"/>
  <c r="C43" i="15"/>
  <c r="E42" i="15"/>
  <c r="E47" i="15" s="1"/>
  <c r="D42" i="15"/>
  <c r="C42" i="15"/>
  <c r="B42" i="15"/>
  <c r="B47" i="15" s="1"/>
  <c r="M41" i="15"/>
  <c r="L41" i="15"/>
  <c r="K41" i="15"/>
  <c r="J41" i="15"/>
  <c r="I41" i="15"/>
  <c r="G40" i="15"/>
  <c r="C40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M37" i="15"/>
  <c r="M40" i="15" s="1"/>
  <c r="L37" i="15"/>
  <c r="L40" i="15" s="1"/>
  <c r="K37" i="15"/>
  <c r="K40" i="15" s="1"/>
  <c r="J37" i="15"/>
  <c r="J40" i="15" s="1"/>
  <c r="I37" i="15"/>
  <c r="I40" i="15" s="1"/>
  <c r="H37" i="15"/>
  <c r="H40" i="15" s="1"/>
  <c r="G37" i="15"/>
  <c r="F37" i="15"/>
  <c r="F40" i="15" s="1"/>
  <c r="E37" i="15"/>
  <c r="E40" i="15" s="1"/>
  <c r="D37" i="15"/>
  <c r="D40" i="15" s="1"/>
  <c r="C37" i="15"/>
  <c r="B37" i="15"/>
  <c r="B40" i="15" s="1"/>
  <c r="N36" i="15"/>
  <c r="F34" i="15"/>
  <c r="E34" i="15"/>
  <c r="D34" i="15"/>
  <c r="C34" i="15"/>
  <c r="B34" i="15"/>
  <c r="N34" i="15" s="1"/>
  <c r="F33" i="15"/>
  <c r="E33" i="15"/>
  <c r="D33" i="15"/>
  <c r="B33" i="15"/>
  <c r="N33" i="15" s="1"/>
  <c r="J32" i="15"/>
  <c r="B32" i="15"/>
  <c r="F31" i="15"/>
  <c r="D31" i="15"/>
  <c r="C31" i="15"/>
  <c r="N31" i="15" s="1"/>
  <c r="M30" i="15"/>
  <c r="L30" i="15"/>
  <c r="K30" i="15"/>
  <c r="J30" i="15"/>
  <c r="I30" i="15"/>
  <c r="G30" i="15"/>
  <c r="F30" i="15"/>
  <c r="E30" i="15"/>
  <c r="D30" i="15"/>
  <c r="C30" i="15"/>
  <c r="B30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M28" i="15"/>
  <c r="L28" i="15"/>
  <c r="K28" i="15"/>
  <c r="J28" i="15"/>
  <c r="I28" i="15"/>
  <c r="H28" i="15"/>
  <c r="H35" i="15" s="1"/>
  <c r="G28" i="15"/>
  <c r="G35" i="15" s="1"/>
  <c r="F28" i="15"/>
  <c r="F35" i="15" s="1"/>
  <c r="E28" i="15"/>
  <c r="E35" i="15" s="1"/>
  <c r="D28" i="15"/>
  <c r="D35" i="15" s="1"/>
  <c r="C28" i="15"/>
  <c r="B28" i="15"/>
  <c r="B35" i="15" s="1"/>
  <c r="N27" i="15"/>
  <c r="G26" i="15"/>
  <c r="G48" i="15" s="1"/>
  <c r="F26" i="15"/>
  <c r="B26" i="15"/>
  <c r="B48" i="15" s="1"/>
  <c r="F25" i="15"/>
  <c r="E25" i="15"/>
  <c r="N25" i="15" s="1"/>
  <c r="G24" i="15"/>
  <c r="F24" i="15"/>
  <c r="E24" i="15"/>
  <c r="D24" i="15"/>
  <c r="N24" i="15" s="1"/>
  <c r="B24" i="15"/>
  <c r="C23" i="15"/>
  <c r="N23" i="15" s="1"/>
  <c r="N22" i="15"/>
  <c r="I22" i="15"/>
  <c r="G22" i="15"/>
  <c r="I21" i="15"/>
  <c r="N21" i="15" s="1"/>
  <c r="D21" i="15"/>
  <c r="M20" i="15"/>
  <c r="M26" i="15" s="1"/>
  <c r="L20" i="15"/>
  <c r="L26" i="15" s="1"/>
  <c r="K20" i="15"/>
  <c r="K26" i="15" s="1"/>
  <c r="J20" i="15"/>
  <c r="J26" i="15" s="1"/>
  <c r="I20" i="15"/>
  <c r="H20" i="15"/>
  <c r="H26" i="15" s="1"/>
  <c r="G20" i="15"/>
  <c r="F20" i="15"/>
  <c r="E20" i="15"/>
  <c r="E26" i="15" s="1"/>
  <c r="D20" i="15"/>
  <c r="D26" i="15" s="1"/>
  <c r="C20" i="15"/>
  <c r="B20" i="15"/>
  <c r="N19" i="15"/>
  <c r="N18" i="15"/>
  <c r="M14" i="15"/>
  <c r="L14" i="15"/>
  <c r="K14" i="15"/>
  <c r="J14" i="15"/>
  <c r="I14" i="15"/>
  <c r="H14" i="15"/>
  <c r="B14" i="15"/>
  <c r="G13" i="15"/>
  <c r="G14" i="15" s="1"/>
  <c r="F13" i="15"/>
  <c r="E13" i="15"/>
  <c r="E14" i="15" s="1"/>
  <c r="D13" i="15"/>
  <c r="C13" i="15"/>
  <c r="B13" i="15"/>
  <c r="N13" i="15" s="1"/>
  <c r="N12" i="15"/>
  <c r="F12" i="15"/>
  <c r="F14" i="15" s="1"/>
  <c r="D12" i="15"/>
  <c r="C12" i="15"/>
  <c r="C14" i="15" s="1"/>
  <c r="N11" i="15"/>
  <c r="D11" i="15"/>
  <c r="N10" i="15"/>
  <c r="M9" i="15"/>
  <c r="L9" i="15"/>
  <c r="K9" i="15"/>
  <c r="J9" i="15"/>
  <c r="I9" i="15"/>
  <c r="H9" i="15"/>
  <c r="G9" i="15"/>
  <c r="F9" i="15"/>
  <c r="E9" i="15"/>
  <c r="D9" i="15"/>
  <c r="C9" i="15"/>
  <c r="B9" i="15"/>
  <c r="N9" i="15" s="1"/>
  <c r="N8" i="15"/>
  <c r="E8" i="15"/>
  <c r="M7" i="15"/>
  <c r="M15" i="15" s="1"/>
  <c r="M16" i="15" s="1"/>
  <c r="L7" i="15"/>
  <c r="L15" i="15" s="1"/>
  <c r="L16" i="15" s="1"/>
  <c r="K7" i="15"/>
  <c r="J7" i="15"/>
  <c r="I7" i="15"/>
  <c r="I15" i="15" s="1"/>
  <c r="I16" i="15" s="1"/>
  <c r="H7" i="15"/>
  <c r="H15" i="15" s="1"/>
  <c r="H16" i="15" s="1"/>
  <c r="G7" i="15"/>
  <c r="F7" i="15"/>
  <c r="E7" i="15"/>
  <c r="E15" i="15" s="1"/>
  <c r="E16" i="15" s="1"/>
  <c r="D7" i="15"/>
  <c r="C7" i="15"/>
  <c r="B7" i="15"/>
  <c r="N7" i="15" s="1"/>
  <c r="P89" i="15" l="1"/>
  <c r="J96" i="15"/>
  <c r="L35" i="15"/>
  <c r="J47" i="15"/>
  <c r="K47" i="15"/>
  <c r="K55" i="15"/>
  <c r="K61" i="15" s="1"/>
  <c r="P52" i="15"/>
  <c r="P57" i="15"/>
  <c r="P58" i="15"/>
  <c r="P59" i="15"/>
  <c r="H96" i="15"/>
  <c r="N38" i="15"/>
  <c r="P74" i="15"/>
  <c r="I35" i="15"/>
  <c r="M35" i="15"/>
  <c r="I55" i="15"/>
  <c r="I61" i="15" s="1"/>
  <c r="M55" i="15"/>
  <c r="H84" i="15"/>
  <c r="L84" i="15"/>
  <c r="P81" i="15"/>
  <c r="N87" i="15"/>
  <c r="N88" i="15"/>
  <c r="P88" i="15"/>
  <c r="J35" i="15"/>
  <c r="J48" i="15" s="1"/>
  <c r="N30" i="15"/>
  <c r="M75" i="15"/>
  <c r="P77" i="15"/>
  <c r="P82" i="15"/>
  <c r="K96" i="15"/>
  <c r="N90" i="15"/>
  <c r="N20" i="15"/>
  <c r="L47" i="15"/>
  <c r="L48" i="15" s="1"/>
  <c r="M61" i="15"/>
  <c r="P53" i="15"/>
  <c r="N59" i="15"/>
  <c r="J75" i="15"/>
  <c r="N64" i="15"/>
  <c r="N67" i="15"/>
  <c r="N68" i="15"/>
  <c r="P68" i="15"/>
  <c r="J84" i="15"/>
  <c r="L96" i="15"/>
  <c r="P92" i="15"/>
  <c r="N29" i="15"/>
  <c r="N45" i="15"/>
  <c r="N79" i="15"/>
  <c r="P90" i="15"/>
  <c r="P94" i="15"/>
  <c r="N32" i="15"/>
  <c r="J55" i="15"/>
  <c r="J61" i="15" s="1"/>
  <c r="N53" i="15"/>
  <c r="P79" i="15"/>
  <c r="N82" i="15"/>
  <c r="N92" i="15"/>
  <c r="B28" i="16"/>
  <c r="B29" i="16" s="1"/>
  <c r="N14" i="15"/>
  <c r="D47" i="15"/>
  <c r="L61" i="15"/>
  <c r="E61" i="15"/>
  <c r="N57" i="15"/>
  <c r="F75" i="15"/>
  <c r="F85" i="15" s="1"/>
  <c r="G85" i="15"/>
  <c r="G97" i="15" s="1"/>
  <c r="E75" i="15"/>
  <c r="E85" i="15" s="1"/>
  <c r="M84" i="15"/>
  <c r="I84" i="15"/>
  <c r="K84" i="15"/>
  <c r="N89" i="15"/>
  <c r="H60" i="15"/>
  <c r="P60" i="15" s="1"/>
  <c r="P63" i="15"/>
  <c r="N63" i="15"/>
  <c r="F15" i="15"/>
  <c r="F16" i="15" s="1"/>
  <c r="H48" i="15"/>
  <c r="C35" i="15"/>
  <c r="K35" i="15"/>
  <c r="K48" i="15" s="1"/>
  <c r="N40" i="15"/>
  <c r="N37" i="15"/>
  <c r="I47" i="15"/>
  <c r="N41" i="15"/>
  <c r="M47" i="15"/>
  <c r="M48" i="15" s="1"/>
  <c r="P45" i="15"/>
  <c r="D61" i="15"/>
  <c r="B61" i="15"/>
  <c r="K75" i="15"/>
  <c r="H75" i="15"/>
  <c r="P64" i="15"/>
  <c r="I75" i="15"/>
  <c r="I85" i="15" s="1"/>
  <c r="F97" i="15"/>
  <c r="B15" i="15"/>
  <c r="J15" i="15"/>
  <c r="J16" i="15" s="1"/>
  <c r="C15" i="15"/>
  <c r="C16" i="15" s="1"/>
  <c r="G15" i="15"/>
  <c r="G16" i="15" s="1"/>
  <c r="K15" i="15"/>
  <c r="K16" i="15" s="1"/>
  <c r="D14" i="15"/>
  <c r="D15" i="15" s="1"/>
  <c r="D16" i="15" s="1"/>
  <c r="E48" i="15"/>
  <c r="E97" i="15" s="1"/>
  <c r="E98" i="15" s="1"/>
  <c r="E99" i="15" s="1"/>
  <c r="I26" i="15"/>
  <c r="N39" i="15"/>
  <c r="N52" i="15"/>
  <c r="L85" i="15"/>
  <c r="D75" i="15"/>
  <c r="D85" i="15" s="1"/>
  <c r="P70" i="15"/>
  <c r="N70" i="15"/>
  <c r="N72" i="15"/>
  <c r="N81" i="15"/>
  <c r="C84" i="15"/>
  <c r="C85" i="15" s="1"/>
  <c r="E96" i="15"/>
  <c r="I96" i="15"/>
  <c r="P87" i="15"/>
  <c r="M96" i="15"/>
  <c r="N94" i="15"/>
  <c r="N95" i="15"/>
  <c r="B96" i="15"/>
  <c r="C26" i="15"/>
  <c r="C48" i="15" s="1"/>
  <c r="N51" i="15"/>
  <c r="B75" i="15"/>
  <c r="N77" i="15"/>
  <c r="N28" i="15"/>
  <c r="N42" i="15"/>
  <c r="P51" i="15"/>
  <c r="N58" i="15"/>
  <c r="N60" i="15" l="1"/>
  <c r="N47" i="15"/>
  <c r="N55" i="15"/>
  <c r="N35" i="15"/>
  <c r="N96" i="15"/>
  <c r="J85" i="15"/>
  <c r="J97" i="15" s="1"/>
  <c r="J98" i="15" s="1"/>
  <c r="J99" i="15" s="1"/>
  <c r="P84" i="15"/>
  <c r="P55" i="15"/>
  <c r="M85" i="15"/>
  <c r="M97" i="15" s="1"/>
  <c r="M98" i="15" s="1"/>
  <c r="M99" i="15" s="1"/>
  <c r="C29" i="16"/>
  <c r="B32" i="16"/>
  <c r="D98" i="15"/>
  <c r="D99" i="15" s="1"/>
  <c r="H85" i="15"/>
  <c r="P75" i="15"/>
  <c r="N26" i="15"/>
  <c r="N84" i="15"/>
  <c r="D48" i="15"/>
  <c r="D97" i="15" s="1"/>
  <c r="B85" i="15"/>
  <c r="N75" i="15"/>
  <c r="B16" i="15"/>
  <c r="N15" i="15"/>
  <c r="K85" i="15"/>
  <c r="K97" i="15" s="1"/>
  <c r="K98" i="15" s="1"/>
  <c r="K99" i="15" s="1"/>
  <c r="F98" i="15"/>
  <c r="F99" i="15" s="1"/>
  <c r="H61" i="15"/>
  <c r="P61" i="15" s="1"/>
  <c r="C97" i="15"/>
  <c r="C98" i="15" s="1"/>
  <c r="C99" i="15" s="1"/>
  <c r="I48" i="15"/>
  <c r="I97" i="15" s="1"/>
  <c r="I98" i="15" s="1"/>
  <c r="I99" i="15" s="1"/>
  <c r="G98" i="15"/>
  <c r="G99" i="15" s="1"/>
  <c r="L97" i="15"/>
  <c r="L98" i="15" s="1"/>
  <c r="L99" i="15" s="1"/>
  <c r="N85" i="15" l="1"/>
  <c r="N48" i="15"/>
  <c r="D7" i="16"/>
  <c r="D29" i="16" s="1"/>
  <c r="C32" i="16"/>
  <c r="H97" i="15"/>
  <c r="H98" i="15" s="1"/>
  <c r="H99" i="15" s="1"/>
  <c r="N16" i="15"/>
  <c r="B98" i="15"/>
  <c r="N61" i="15"/>
  <c r="P85" i="15"/>
  <c r="B97" i="15"/>
  <c r="N97" i="15" s="1"/>
  <c r="E7" i="16" l="1"/>
  <c r="D32" i="16"/>
  <c r="B99" i="15"/>
  <c r="N99" i="15" s="1"/>
  <c r="N98" i="15"/>
  <c r="S10" i="14" l="1"/>
  <c r="S11" i="14"/>
  <c r="S17" i="14"/>
  <c r="S18" i="14"/>
  <c r="S19" i="14"/>
  <c r="S27" i="14"/>
  <c r="S36" i="14"/>
  <c r="S51" i="14"/>
  <c r="S52" i="14"/>
  <c r="S58" i="14"/>
  <c r="S64" i="14"/>
  <c r="S78" i="14"/>
  <c r="S88" i="14"/>
  <c r="AZ189" i="13" l="1"/>
  <c r="AZ191" i="13"/>
  <c r="AZ157" i="13"/>
  <c r="AZ128" i="13"/>
  <c r="BA17" i="13"/>
  <c r="AZ17" i="13"/>
  <c r="C79" i="13"/>
  <c r="D79" i="13" s="1"/>
  <c r="P93" i="14"/>
  <c r="P95" i="14"/>
  <c r="P97" i="14"/>
  <c r="P58" i="14"/>
  <c r="P64" i="14"/>
  <c r="P71" i="14"/>
  <c r="P73" i="14"/>
  <c r="P78" i="14"/>
  <c r="P80" i="14"/>
  <c r="P82" i="14"/>
  <c r="P85" i="14"/>
  <c r="P88" i="14"/>
  <c r="AV189" i="13"/>
  <c r="AV191" i="13"/>
  <c r="BA94" i="13"/>
  <c r="BE115" i="13"/>
  <c r="BD115" i="13"/>
  <c r="D115" i="13"/>
  <c r="C85" i="13"/>
  <c r="C115" i="13"/>
  <c r="AZ79" i="13" l="1"/>
  <c r="I14" i="14"/>
  <c r="L46" i="14"/>
  <c r="I43" i="14"/>
  <c r="AU189" i="13"/>
  <c r="AU191" i="13"/>
  <c r="AU157" i="13"/>
  <c r="AU128" i="13"/>
  <c r="AU94" i="13"/>
  <c r="M43" i="14" s="1"/>
  <c r="AU55" i="13"/>
  <c r="AU17" i="13"/>
  <c r="AT179" i="13"/>
  <c r="BE179" i="13" s="1"/>
  <c r="BE159" i="13"/>
  <c r="BE161" i="13"/>
  <c r="BE164" i="13"/>
  <c r="BE168" i="13"/>
  <c r="BE173" i="13"/>
  <c r="BE130" i="13"/>
  <c r="BE133" i="13"/>
  <c r="BE136" i="13"/>
  <c r="BE113" i="13"/>
  <c r="BE97" i="13"/>
  <c r="BE76" i="13"/>
  <c r="BE77" i="13"/>
  <c r="BE78" i="13"/>
  <c r="BE82" i="13"/>
  <c r="BE84" i="13"/>
  <c r="C80" i="13"/>
  <c r="D179" i="13"/>
  <c r="BB117" i="13"/>
  <c r="BE117" i="13" s="1"/>
  <c r="BB116" i="13"/>
  <c r="D117" i="13"/>
  <c r="D116" i="13"/>
  <c r="AB170" i="13"/>
  <c r="BE170" i="13" s="1"/>
  <c r="D170" i="13"/>
  <c r="BA128" i="13"/>
  <c r="BA157" i="13"/>
  <c r="BA189" i="13"/>
  <c r="BB189" i="13"/>
  <c r="M41" i="14" s="1"/>
  <c r="BA191" i="13"/>
  <c r="BB191" i="13"/>
  <c r="AS30" i="13"/>
  <c r="BE20" i="13"/>
  <c r="BE22" i="13"/>
  <c r="BE24" i="13"/>
  <c r="BE28" i="13"/>
  <c r="BE36" i="13"/>
  <c r="BE37" i="13"/>
  <c r="BA29" i="13"/>
  <c r="BA55" i="13" s="1"/>
  <c r="D30" i="13"/>
  <c r="I30" i="13"/>
  <c r="D29" i="13"/>
  <c r="I29" i="13"/>
  <c r="AY33" i="13"/>
  <c r="D33" i="13"/>
  <c r="AY134" i="13"/>
  <c r="BE134" i="13" s="1"/>
  <c r="D134" i="13"/>
  <c r="AY100" i="13"/>
  <c r="D100" i="13"/>
  <c r="AY61" i="13"/>
  <c r="AY189" i="13"/>
  <c r="M54" i="14" s="1"/>
  <c r="AY191" i="13"/>
  <c r="AY157" i="13"/>
  <c r="L54" i="14" s="1"/>
  <c r="AY17" i="13"/>
  <c r="D61" i="13"/>
  <c r="BB82" i="13"/>
  <c r="BB81" i="13"/>
  <c r="BE81" i="13" s="1"/>
  <c r="D82" i="13"/>
  <c r="D81" i="13"/>
  <c r="BB157" i="13"/>
  <c r="L41" i="14" s="1"/>
  <c r="AT45" i="13"/>
  <c r="BB55" i="13"/>
  <c r="S41" i="14" s="1"/>
  <c r="BB17" i="13"/>
  <c r="C88" i="13"/>
  <c r="F97" i="14"/>
  <c r="B97" i="14"/>
  <c r="H96" i="14"/>
  <c r="G96" i="14"/>
  <c r="F96" i="14"/>
  <c r="E96" i="14"/>
  <c r="D96" i="14"/>
  <c r="C96" i="14"/>
  <c r="B96" i="14"/>
  <c r="F95" i="14"/>
  <c r="S95" i="14" s="1"/>
  <c r="H94" i="14"/>
  <c r="G94" i="14"/>
  <c r="F94" i="14"/>
  <c r="E94" i="14"/>
  <c r="D94" i="14"/>
  <c r="C94" i="14"/>
  <c r="B94" i="14"/>
  <c r="E93" i="14"/>
  <c r="N93" i="14" s="1"/>
  <c r="B93" i="14"/>
  <c r="G92" i="14"/>
  <c r="F92" i="14"/>
  <c r="E92" i="14"/>
  <c r="D92" i="14"/>
  <c r="C92" i="14"/>
  <c r="B92" i="14"/>
  <c r="G91" i="14"/>
  <c r="F91" i="14"/>
  <c r="E91" i="14"/>
  <c r="D91" i="14"/>
  <c r="C91" i="14"/>
  <c r="B91" i="14"/>
  <c r="F90" i="14"/>
  <c r="E90" i="14"/>
  <c r="D90" i="14"/>
  <c r="C90" i="14"/>
  <c r="B90" i="14"/>
  <c r="H89" i="14"/>
  <c r="F89" i="14"/>
  <c r="E89" i="14"/>
  <c r="D89" i="14"/>
  <c r="C89" i="14"/>
  <c r="B89" i="14"/>
  <c r="N88" i="14"/>
  <c r="G85" i="14"/>
  <c r="F85" i="14"/>
  <c r="E85" i="14"/>
  <c r="D85" i="14"/>
  <c r="C85" i="14"/>
  <c r="B85" i="14"/>
  <c r="G84" i="14"/>
  <c r="F84" i="14"/>
  <c r="E84" i="14"/>
  <c r="D84" i="14"/>
  <c r="C84" i="14"/>
  <c r="B84" i="14"/>
  <c r="F83" i="14"/>
  <c r="E83" i="14"/>
  <c r="D83" i="14"/>
  <c r="C83" i="14"/>
  <c r="B83" i="14"/>
  <c r="C82" i="14"/>
  <c r="F81" i="14"/>
  <c r="E81" i="14"/>
  <c r="D81" i="14"/>
  <c r="C81" i="14"/>
  <c r="B81" i="14"/>
  <c r="N80" i="14"/>
  <c r="B80" i="14"/>
  <c r="S80" i="14" s="1"/>
  <c r="H79" i="14"/>
  <c r="G79" i="14"/>
  <c r="F79" i="14"/>
  <c r="E79" i="14"/>
  <c r="D79" i="14"/>
  <c r="C79" i="14"/>
  <c r="B79" i="14"/>
  <c r="N78" i="14"/>
  <c r="G76" i="14"/>
  <c r="F76" i="14"/>
  <c r="E76" i="14"/>
  <c r="D76" i="14"/>
  <c r="C76" i="14"/>
  <c r="B76" i="14"/>
  <c r="P75" i="14"/>
  <c r="G75" i="14"/>
  <c r="F75" i="14"/>
  <c r="E75" i="14"/>
  <c r="D75" i="14"/>
  <c r="C75" i="14"/>
  <c r="B75" i="14"/>
  <c r="S75" i="14" s="1"/>
  <c r="P74" i="14"/>
  <c r="F74" i="14"/>
  <c r="E74" i="14"/>
  <c r="D74" i="14"/>
  <c r="C74" i="14"/>
  <c r="B74" i="14"/>
  <c r="G73" i="14"/>
  <c r="F73" i="14"/>
  <c r="E73" i="14"/>
  <c r="D73" i="14"/>
  <c r="C73" i="14"/>
  <c r="H72" i="14"/>
  <c r="B72" i="14"/>
  <c r="E71" i="14"/>
  <c r="C71" i="14"/>
  <c r="B71" i="14"/>
  <c r="G70" i="14"/>
  <c r="F70" i="14"/>
  <c r="E70" i="14"/>
  <c r="D70" i="14"/>
  <c r="C70" i="14"/>
  <c r="B70" i="14"/>
  <c r="H69" i="14"/>
  <c r="G69" i="14"/>
  <c r="F69" i="14"/>
  <c r="E69" i="14"/>
  <c r="D69" i="14"/>
  <c r="C69" i="14"/>
  <c r="B69" i="14"/>
  <c r="H68" i="14"/>
  <c r="P68" i="14" s="1"/>
  <c r="G68" i="14"/>
  <c r="N68" i="14" s="1"/>
  <c r="E68" i="14"/>
  <c r="P67" i="14"/>
  <c r="G67" i="14"/>
  <c r="F67" i="14"/>
  <c r="S67" i="14" s="1"/>
  <c r="F66" i="14"/>
  <c r="E66" i="14"/>
  <c r="D66" i="14"/>
  <c r="C66" i="14"/>
  <c r="B66" i="14"/>
  <c r="N64" i="14"/>
  <c r="H61" i="14"/>
  <c r="G61" i="14"/>
  <c r="F61" i="14"/>
  <c r="E61" i="14"/>
  <c r="D61" i="14"/>
  <c r="C61" i="14"/>
  <c r="B61" i="14"/>
  <c r="G60" i="14"/>
  <c r="F60" i="14"/>
  <c r="E60" i="14"/>
  <c r="D60" i="14"/>
  <c r="C60" i="14"/>
  <c r="B60" i="14"/>
  <c r="G62" i="14"/>
  <c r="F59" i="14"/>
  <c r="E59" i="14"/>
  <c r="D59" i="14"/>
  <c r="D62" i="14" s="1"/>
  <c r="C59" i="14"/>
  <c r="C62" i="14" s="1"/>
  <c r="N58" i="14"/>
  <c r="M56" i="14"/>
  <c r="L56" i="14"/>
  <c r="K56" i="14"/>
  <c r="J56" i="14"/>
  <c r="I56" i="14"/>
  <c r="H56" i="14"/>
  <c r="S56" i="14"/>
  <c r="E55" i="14"/>
  <c r="B55" i="14"/>
  <c r="F54" i="14"/>
  <c r="F57" i="14" s="1"/>
  <c r="E54" i="14"/>
  <c r="D54" i="14"/>
  <c r="C54" i="14"/>
  <c r="C57" i="14" s="1"/>
  <c r="C63" i="14" s="1"/>
  <c r="B54" i="14"/>
  <c r="G53" i="14"/>
  <c r="E53" i="14"/>
  <c r="E57" i="14" s="1"/>
  <c r="D53" i="14"/>
  <c r="D57" i="14" s="1"/>
  <c r="B53" i="14"/>
  <c r="N52" i="14"/>
  <c r="N51" i="14"/>
  <c r="E47" i="14"/>
  <c r="G46" i="14"/>
  <c r="F46" i="14"/>
  <c r="D46" i="14"/>
  <c r="C46" i="14"/>
  <c r="B46" i="14"/>
  <c r="B44" i="14"/>
  <c r="S44" i="14" s="1"/>
  <c r="H43" i="14"/>
  <c r="D43" i="14"/>
  <c r="C43" i="14"/>
  <c r="S43" i="14" s="1"/>
  <c r="E42" i="14"/>
  <c r="D42" i="14"/>
  <c r="C42" i="14"/>
  <c r="B42" i="14"/>
  <c r="G39" i="14"/>
  <c r="F39" i="14"/>
  <c r="E39" i="14"/>
  <c r="D39" i="14"/>
  <c r="C39" i="14"/>
  <c r="B39" i="14"/>
  <c r="G38" i="14"/>
  <c r="F38" i="14"/>
  <c r="E38" i="14"/>
  <c r="D38" i="14"/>
  <c r="C38" i="14"/>
  <c r="B38" i="14"/>
  <c r="G37" i="14"/>
  <c r="G40" i="14" s="1"/>
  <c r="F37" i="14"/>
  <c r="F40" i="14" s="1"/>
  <c r="E37" i="14"/>
  <c r="D37" i="14"/>
  <c r="C37" i="14"/>
  <c r="C40" i="14" s="1"/>
  <c r="B37" i="14"/>
  <c r="B40" i="14" s="1"/>
  <c r="N36" i="14"/>
  <c r="F34" i="14"/>
  <c r="E34" i="14"/>
  <c r="D34" i="14"/>
  <c r="C34" i="14"/>
  <c r="B34" i="14"/>
  <c r="F33" i="14"/>
  <c r="E33" i="14"/>
  <c r="D33" i="14"/>
  <c r="B33" i="14"/>
  <c r="B32" i="14"/>
  <c r="S32" i="14" s="1"/>
  <c r="F31" i="14"/>
  <c r="D31" i="14"/>
  <c r="C31" i="14"/>
  <c r="S31" i="14" s="1"/>
  <c r="G30" i="14"/>
  <c r="F30" i="14"/>
  <c r="E30" i="14"/>
  <c r="D30" i="14"/>
  <c r="C30" i="14"/>
  <c r="B30" i="14"/>
  <c r="H29" i="14"/>
  <c r="G29" i="14"/>
  <c r="F29" i="14"/>
  <c r="E29" i="14"/>
  <c r="D29" i="14"/>
  <c r="C29" i="14"/>
  <c r="B29" i="14"/>
  <c r="H28" i="14"/>
  <c r="G28" i="14"/>
  <c r="F28" i="14"/>
  <c r="F35" i="14" s="1"/>
  <c r="E28" i="14"/>
  <c r="D28" i="14"/>
  <c r="C28" i="14"/>
  <c r="B28" i="14"/>
  <c r="N27" i="14"/>
  <c r="F25" i="14"/>
  <c r="E25" i="14"/>
  <c r="G24" i="14"/>
  <c r="F24" i="14"/>
  <c r="E24" i="14"/>
  <c r="D24" i="14"/>
  <c r="B24" i="14"/>
  <c r="S24" i="14" s="1"/>
  <c r="C23" i="14"/>
  <c r="G22" i="14"/>
  <c r="D21" i="14"/>
  <c r="S21" i="14" s="1"/>
  <c r="H26" i="14"/>
  <c r="F20" i="14"/>
  <c r="E20" i="14"/>
  <c r="D20" i="14"/>
  <c r="D26" i="14" s="1"/>
  <c r="C20" i="14"/>
  <c r="B20" i="14"/>
  <c r="N19" i="14"/>
  <c r="N18" i="14"/>
  <c r="M14" i="14"/>
  <c r="L14" i="14"/>
  <c r="K14" i="14"/>
  <c r="J14" i="14"/>
  <c r="H14" i="14"/>
  <c r="G14" i="14"/>
  <c r="G13" i="14"/>
  <c r="F13" i="14"/>
  <c r="E13" i="14"/>
  <c r="E14" i="14" s="1"/>
  <c r="D13" i="14"/>
  <c r="C13" i="14"/>
  <c r="B13" i="14"/>
  <c r="F12" i="14"/>
  <c r="F14" i="14" s="1"/>
  <c r="D12" i="14"/>
  <c r="C12" i="14"/>
  <c r="N11" i="14"/>
  <c r="N10" i="14"/>
  <c r="M9" i="14"/>
  <c r="L9" i="14"/>
  <c r="K9" i="14"/>
  <c r="J9" i="14"/>
  <c r="I9" i="14"/>
  <c r="H9" i="14"/>
  <c r="G9" i="14"/>
  <c r="F9" i="14"/>
  <c r="E9" i="14"/>
  <c r="D9" i="14"/>
  <c r="C9" i="14"/>
  <c r="B9" i="14"/>
  <c r="E8" i="14"/>
  <c r="M7" i="14"/>
  <c r="L7" i="14"/>
  <c r="K7" i="14"/>
  <c r="J7" i="14"/>
  <c r="I7" i="14"/>
  <c r="H7" i="14"/>
  <c r="G7" i="14"/>
  <c r="F7" i="14"/>
  <c r="E7" i="14"/>
  <c r="D7" i="14"/>
  <c r="C7" i="14"/>
  <c r="B7" i="14"/>
  <c r="D218" i="13"/>
  <c r="F218" i="13" s="1"/>
  <c r="U218" i="13" s="1"/>
  <c r="V218" i="13" s="1"/>
  <c r="W218" i="13" s="1"/>
  <c r="X218" i="13" s="1"/>
  <c r="D217" i="13"/>
  <c r="F217" i="13" s="1"/>
  <c r="U217" i="13" s="1"/>
  <c r="V217" i="13" s="1"/>
  <c r="W217" i="13" s="1"/>
  <c r="X217" i="13" s="1"/>
  <c r="W212" i="13"/>
  <c r="W214" i="13" s="1"/>
  <c r="W207" i="13"/>
  <c r="W204" i="13"/>
  <c r="W195" i="13"/>
  <c r="W199" i="13" s="1"/>
  <c r="W198" i="13" s="1"/>
  <c r="BD191" i="13"/>
  <c r="BC191" i="13"/>
  <c r="AX191" i="13"/>
  <c r="AW191" i="13"/>
  <c r="AT191" i="13"/>
  <c r="AS191" i="13"/>
  <c r="AR191" i="13"/>
  <c r="AQ191" i="13"/>
  <c r="AP191" i="13"/>
  <c r="AO191" i="13"/>
  <c r="BD189" i="13"/>
  <c r="M76" i="14" s="1"/>
  <c r="AX189" i="13"/>
  <c r="AT189" i="13"/>
  <c r="M46" i="14" s="1"/>
  <c r="AS189" i="13"/>
  <c r="AO189" i="13"/>
  <c r="AL189" i="13"/>
  <c r="AK189" i="13"/>
  <c r="AJ189" i="13"/>
  <c r="AI189" i="13"/>
  <c r="AH189" i="13"/>
  <c r="AG189" i="13"/>
  <c r="I188" i="13"/>
  <c r="AA188" i="13" s="1"/>
  <c r="BE188" i="13" s="1"/>
  <c r="D188" i="13"/>
  <c r="I187" i="13"/>
  <c r="X187" i="13" s="1"/>
  <c r="D187" i="13"/>
  <c r="I186" i="13"/>
  <c r="Z186" i="13" s="1"/>
  <c r="BE186" i="13" s="1"/>
  <c r="D186" i="13"/>
  <c r="W185" i="13"/>
  <c r="BE185" i="13" s="1"/>
  <c r="I185" i="13"/>
  <c r="D185" i="13"/>
  <c r="I184" i="13"/>
  <c r="W184" i="13" s="1"/>
  <c r="BE184" i="13" s="1"/>
  <c r="D184" i="13"/>
  <c r="I183" i="13"/>
  <c r="W183" i="13" s="1"/>
  <c r="BE183" i="13" s="1"/>
  <c r="D183" i="13"/>
  <c r="I182" i="13"/>
  <c r="W182" i="13" s="1"/>
  <c r="BE182" i="13" s="1"/>
  <c r="D182" i="13"/>
  <c r="I181" i="13"/>
  <c r="V181" i="13" s="1"/>
  <c r="D181" i="13"/>
  <c r="D180" i="13"/>
  <c r="I178" i="13"/>
  <c r="U178" i="13" s="1"/>
  <c r="BE178" i="13" s="1"/>
  <c r="D178" i="13"/>
  <c r="BE176" i="13"/>
  <c r="BE175" i="13"/>
  <c r="I174" i="13"/>
  <c r="AP174" i="13" s="1"/>
  <c r="BE174" i="13" s="1"/>
  <c r="D174" i="13"/>
  <c r="I173" i="13"/>
  <c r="U173" i="13" s="1"/>
  <c r="D173" i="13"/>
  <c r="I172" i="13"/>
  <c r="AN172" i="13" s="1"/>
  <c r="BE172" i="13" s="1"/>
  <c r="D172" i="13"/>
  <c r="I171" i="13"/>
  <c r="AM171" i="13" s="1"/>
  <c r="BE171" i="13" s="1"/>
  <c r="D171" i="13"/>
  <c r="I169" i="13"/>
  <c r="U169" i="13" s="1"/>
  <c r="BE169" i="13" s="1"/>
  <c r="D169" i="13"/>
  <c r="I167" i="13"/>
  <c r="AF167" i="13" s="1"/>
  <c r="BE167" i="13" s="1"/>
  <c r="D167" i="13"/>
  <c r="I166" i="13"/>
  <c r="U166" i="13" s="1"/>
  <c r="BE166" i="13" s="1"/>
  <c r="D166" i="13"/>
  <c r="AE165" i="13"/>
  <c r="AE189" i="13" s="1"/>
  <c r="AD165" i="13"/>
  <c r="BE165" i="13" s="1"/>
  <c r="D165" i="13"/>
  <c r="I164" i="13"/>
  <c r="AC164" i="13" s="1"/>
  <c r="D164" i="13"/>
  <c r="I163" i="13"/>
  <c r="AC163" i="13" s="1"/>
  <c r="BE163" i="13" s="1"/>
  <c r="D163" i="13"/>
  <c r="I162" i="13"/>
  <c r="AB162" i="13" s="1"/>
  <c r="D162" i="13"/>
  <c r="AW161" i="13"/>
  <c r="AW189" i="13" s="1"/>
  <c r="D161" i="13"/>
  <c r="AA160" i="13"/>
  <c r="BE160" i="13" s="1"/>
  <c r="D160" i="13"/>
  <c r="D159" i="13"/>
  <c r="BD157" i="13"/>
  <c r="L76" i="14" s="1"/>
  <c r="AX157" i="13"/>
  <c r="AV157" i="13"/>
  <c r="L53" i="14" s="1"/>
  <c r="AT157" i="13"/>
  <c r="AS157" i="13"/>
  <c r="AO157" i="13"/>
  <c r="AL157" i="13"/>
  <c r="AK157" i="13"/>
  <c r="AJ157" i="13"/>
  <c r="AI157" i="13"/>
  <c r="AH157" i="13"/>
  <c r="AG157" i="13"/>
  <c r="I156" i="13"/>
  <c r="AA156" i="13" s="1"/>
  <c r="BE156" i="13" s="1"/>
  <c r="D156" i="13"/>
  <c r="I155" i="13"/>
  <c r="X155" i="13" s="1"/>
  <c r="D155" i="13"/>
  <c r="I154" i="13"/>
  <c r="Z154" i="13" s="1"/>
  <c r="BE154" i="13" s="1"/>
  <c r="D154" i="13"/>
  <c r="I153" i="13"/>
  <c r="W153" i="13" s="1"/>
  <c r="BE153" i="13" s="1"/>
  <c r="D153" i="13"/>
  <c r="I152" i="13"/>
  <c r="W152" i="13" s="1"/>
  <c r="BE152" i="13" s="1"/>
  <c r="D152" i="13"/>
  <c r="I151" i="13"/>
  <c r="W151" i="13" s="1"/>
  <c r="BE151" i="13" s="1"/>
  <c r="D151" i="13"/>
  <c r="I150" i="13"/>
  <c r="W150" i="13" s="1"/>
  <c r="BE150" i="13" s="1"/>
  <c r="D150" i="13"/>
  <c r="I149" i="13"/>
  <c r="V149" i="13" s="1"/>
  <c r="BE149" i="13" s="1"/>
  <c r="D149" i="13"/>
  <c r="I147" i="13"/>
  <c r="U147" i="13" s="1"/>
  <c r="BE147" i="13" s="1"/>
  <c r="D147" i="13"/>
  <c r="I145" i="13"/>
  <c r="AP145" i="13" s="1"/>
  <c r="D145" i="13"/>
  <c r="I144" i="13"/>
  <c r="U144" i="13" s="1"/>
  <c r="BE144" i="13" s="1"/>
  <c r="D144" i="13"/>
  <c r="I143" i="13"/>
  <c r="AN143" i="13" s="1"/>
  <c r="D143" i="13"/>
  <c r="I142" i="13"/>
  <c r="AM142" i="13" s="1"/>
  <c r="BE142" i="13" s="1"/>
  <c r="D142" i="13"/>
  <c r="I141" i="13"/>
  <c r="U141" i="13" s="1"/>
  <c r="BE141" i="13" s="1"/>
  <c r="D141" i="13"/>
  <c r="I139" i="13"/>
  <c r="AF139" i="13" s="1"/>
  <c r="D139" i="13"/>
  <c r="I138" i="13"/>
  <c r="U138" i="13" s="1"/>
  <c r="D138" i="13"/>
  <c r="AE137" i="13"/>
  <c r="AE157" i="13" s="1"/>
  <c r="AD137" i="13"/>
  <c r="D137" i="13"/>
  <c r="I136" i="13"/>
  <c r="AC136" i="13" s="1"/>
  <c r="D136" i="13"/>
  <c r="I135" i="13"/>
  <c r="AC135" i="13" s="1"/>
  <c r="BE135" i="13" s="1"/>
  <c r="D135" i="13"/>
  <c r="I133" i="13"/>
  <c r="AB133" i="13" s="1"/>
  <c r="D133" i="13"/>
  <c r="AW132" i="13"/>
  <c r="D132" i="13"/>
  <c r="AA131" i="13"/>
  <c r="BE131" i="13" s="1"/>
  <c r="D131" i="13"/>
  <c r="D130" i="13"/>
  <c r="BD128" i="13"/>
  <c r="K76" i="14" s="1"/>
  <c r="AX128" i="13"/>
  <c r="AV128" i="13"/>
  <c r="K53" i="14" s="1"/>
  <c r="AT128" i="13"/>
  <c r="K46" i="14" s="1"/>
  <c r="AS128" i="13"/>
  <c r="AO128" i="13"/>
  <c r="AL128" i="13"/>
  <c r="AK128" i="13"/>
  <c r="AJ128" i="13"/>
  <c r="AI128" i="13"/>
  <c r="AH128" i="13"/>
  <c r="AG128" i="13"/>
  <c r="I127" i="13"/>
  <c r="AA127" i="13" s="1"/>
  <c r="BE127" i="13" s="1"/>
  <c r="D127" i="13"/>
  <c r="I126" i="13"/>
  <c r="X126" i="13" s="1"/>
  <c r="D126" i="13"/>
  <c r="I125" i="13"/>
  <c r="Z125" i="13" s="1"/>
  <c r="D125" i="13"/>
  <c r="I124" i="13"/>
  <c r="W124" i="13" s="1"/>
  <c r="BE124" i="13" s="1"/>
  <c r="D124" i="13"/>
  <c r="BE123" i="13"/>
  <c r="I123" i="13"/>
  <c r="W123" i="13" s="1"/>
  <c r="D123" i="13"/>
  <c r="I122" i="13"/>
  <c r="W122" i="13" s="1"/>
  <c r="BE122" i="13" s="1"/>
  <c r="D122" i="13"/>
  <c r="I121" i="13"/>
  <c r="W121" i="13" s="1"/>
  <c r="BE121" i="13" s="1"/>
  <c r="D121" i="13"/>
  <c r="BE120" i="13"/>
  <c r="I119" i="13"/>
  <c r="V119" i="13" s="1"/>
  <c r="BE119" i="13" s="1"/>
  <c r="D119" i="13"/>
  <c r="D118" i="13"/>
  <c r="I114" i="13"/>
  <c r="U114" i="13" s="1"/>
  <c r="BE114" i="13" s="1"/>
  <c r="D114" i="13"/>
  <c r="BE112" i="13"/>
  <c r="I112" i="13"/>
  <c r="D112" i="13"/>
  <c r="I111" i="13"/>
  <c r="AP111" i="13" s="1"/>
  <c r="AP128" i="13" s="1"/>
  <c r="D111" i="13"/>
  <c r="I110" i="13"/>
  <c r="U110" i="13" s="1"/>
  <c r="BE110" i="13" s="1"/>
  <c r="D110" i="13"/>
  <c r="I109" i="13"/>
  <c r="AN109" i="13" s="1"/>
  <c r="D109" i="13"/>
  <c r="I108" i="13"/>
  <c r="AM108" i="13" s="1"/>
  <c r="BE108" i="13" s="1"/>
  <c r="D108" i="13"/>
  <c r="I107" i="13"/>
  <c r="U107" i="13" s="1"/>
  <c r="BE107" i="13" s="1"/>
  <c r="D107" i="13"/>
  <c r="I105" i="13"/>
  <c r="AF105" i="13" s="1"/>
  <c r="D105" i="13"/>
  <c r="I104" i="13"/>
  <c r="U104" i="13" s="1"/>
  <c r="D104" i="13"/>
  <c r="AE103" i="13"/>
  <c r="AD103" i="13"/>
  <c r="D103" i="13"/>
  <c r="I102" i="13"/>
  <c r="AC102" i="13" s="1"/>
  <c r="BE102" i="13" s="1"/>
  <c r="D102" i="13"/>
  <c r="I101" i="13"/>
  <c r="AC101" i="13" s="1"/>
  <c r="BE101" i="13" s="1"/>
  <c r="D101" i="13"/>
  <c r="I99" i="13"/>
  <c r="AB99" i="13" s="1"/>
  <c r="AB128" i="13" s="1"/>
  <c r="D99" i="13"/>
  <c r="AW98" i="13"/>
  <c r="D98" i="13"/>
  <c r="AA97" i="13"/>
  <c r="D97" i="13"/>
  <c r="BE96" i="13"/>
  <c r="D96" i="13"/>
  <c r="BD94" i="13"/>
  <c r="AS94" i="13"/>
  <c r="AO94" i="13"/>
  <c r="AL94" i="13"/>
  <c r="I93" i="13"/>
  <c r="AA93" i="13" s="1"/>
  <c r="BE93" i="13" s="1"/>
  <c r="D93" i="13"/>
  <c r="I92" i="13"/>
  <c r="X92" i="13" s="1"/>
  <c r="BE92" i="13" s="1"/>
  <c r="D92" i="13"/>
  <c r="I91" i="13"/>
  <c r="Z91" i="13" s="1"/>
  <c r="Z94" i="13" s="1"/>
  <c r="D91" i="13"/>
  <c r="I90" i="13"/>
  <c r="W90" i="13" s="1"/>
  <c r="BE90" i="13" s="1"/>
  <c r="D90" i="13"/>
  <c r="I89" i="13"/>
  <c r="W89" i="13" s="1"/>
  <c r="BE89" i="13" s="1"/>
  <c r="D89" i="13"/>
  <c r="X88" i="13"/>
  <c r="D88" i="13"/>
  <c r="I87" i="13"/>
  <c r="W87" i="13" s="1"/>
  <c r="BE87" i="13" s="1"/>
  <c r="D87" i="13"/>
  <c r="I86" i="13"/>
  <c r="W86" i="13" s="1"/>
  <c r="BE86" i="13" s="1"/>
  <c r="D86" i="13"/>
  <c r="I84" i="13"/>
  <c r="V84" i="13" s="1"/>
  <c r="D84" i="13"/>
  <c r="I78" i="13"/>
  <c r="U78" i="13" s="1"/>
  <c r="D78" i="13"/>
  <c r="I75" i="13"/>
  <c r="AP75" i="13" s="1"/>
  <c r="AP94" i="13" s="1"/>
  <c r="D75" i="13"/>
  <c r="I74" i="13"/>
  <c r="U74" i="13" s="1"/>
  <c r="BE74" i="13" s="1"/>
  <c r="D74" i="13"/>
  <c r="I73" i="13"/>
  <c r="AN73" i="13" s="1"/>
  <c r="AN94" i="13" s="1"/>
  <c r="D73" i="13"/>
  <c r="I72" i="13"/>
  <c r="AM72" i="13" s="1"/>
  <c r="BE72" i="13" s="1"/>
  <c r="D72" i="13"/>
  <c r="BE71" i="13"/>
  <c r="BE70" i="13"/>
  <c r="I70" i="13"/>
  <c r="I69" i="13"/>
  <c r="U69" i="13" s="1"/>
  <c r="BE69" i="13" s="1"/>
  <c r="D69" i="13"/>
  <c r="AK68" i="13"/>
  <c r="AK94" i="13" s="1"/>
  <c r="AJ68" i="13"/>
  <c r="AJ94" i="13" s="1"/>
  <c r="AI68" i="13"/>
  <c r="AI94" i="13" s="1"/>
  <c r="AH68" i="13"/>
  <c r="AH94" i="13" s="1"/>
  <c r="AG68" i="13"/>
  <c r="AG94" i="13" s="1"/>
  <c r="T68" i="13"/>
  <c r="C68" i="13" s="1"/>
  <c r="D68" i="13" s="1"/>
  <c r="I67" i="13"/>
  <c r="AF67" i="13" s="1"/>
  <c r="AF94" i="13" s="1"/>
  <c r="D67" i="13"/>
  <c r="I66" i="13"/>
  <c r="U66" i="13" s="1"/>
  <c r="BE66" i="13" s="1"/>
  <c r="D66" i="13"/>
  <c r="AE65" i="13"/>
  <c r="AE94" i="13" s="1"/>
  <c r="AD65" i="13"/>
  <c r="D65" i="13"/>
  <c r="I64" i="13"/>
  <c r="AC64" i="13" s="1"/>
  <c r="BE64" i="13" s="1"/>
  <c r="D64" i="13"/>
  <c r="I63" i="13"/>
  <c r="AC63" i="13" s="1"/>
  <c r="BE63" i="13" s="1"/>
  <c r="D63" i="13"/>
  <c r="AX62" i="13"/>
  <c r="D62" i="13"/>
  <c r="I60" i="13"/>
  <c r="AB60" i="13" s="1"/>
  <c r="D60" i="13"/>
  <c r="AW59" i="13"/>
  <c r="D59" i="13"/>
  <c r="AA58" i="13"/>
  <c r="BE58" i="13" s="1"/>
  <c r="D58" i="13"/>
  <c r="BE57" i="13"/>
  <c r="D57" i="13"/>
  <c r="BD55" i="13"/>
  <c r="AX55" i="13"/>
  <c r="AO55" i="13"/>
  <c r="I54" i="13"/>
  <c r="AA54" i="13" s="1"/>
  <c r="BE54" i="13" s="1"/>
  <c r="D54" i="13"/>
  <c r="I53" i="13"/>
  <c r="W53" i="13" s="1"/>
  <c r="BE53" i="13" s="1"/>
  <c r="D53" i="13"/>
  <c r="I52" i="13"/>
  <c r="W52" i="13" s="1"/>
  <c r="BE52" i="13" s="1"/>
  <c r="D52" i="13"/>
  <c r="I51" i="13"/>
  <c r="X51" i="13" s="1"/>
  <c r="D51" i="13"/>
  <c r="I50" i="13"/>
  <c r="Z50" i="13" s="1"/>
  <c r="Z55" i="13" s="1"/>
  <c r="D50" i="13"/>
  <c r="I49" i="13"/>
  <c r="W49" i="13" s="1"/>
  <c r="BE49" i="13" s="1"/>
  <c r="D49" i="13"/>
  <c r="I48" i="13"/>
  <c r="W48" i="13" s="1"/>
  <c r="BE48" i="13" s="1"/>
  <c r="D48" i="13"/>
  <c r="I47" i="13"/>
  <c r="W47" i="13" s="1"/>
  <c r="BE47" i="13" s="1"/>
  <c r="D47" i="13"/>
  <c r="I46" i="13"/>
  <c r="V46" i="13" s="1"/>
  <c r="D46" i="13"/>
  <c r="BE45" i="13"/>
  <c r="D45" i="13"/>
  <c r="I43" i="13"/>
  <c r="U43" i="13" s="1"/>
  <c r="BE43" i="13" s="1"/>
  <c r="D43" i="13"/>
  <c r="AK42" i="13"/>
  <c r="AJ42" i="13"/>
  <c r="AI42" i="13"/>
  <c r="AH42" i="13"/>
  <c r="AG42" i="13"/>
  <c r="T42" i="13"/>
  <c r="C42" i="13"/>
  <c r="D42" i="13" s="1"/>
  <c r="I41" i="13"/>
  <c r="AP41" i="13" s="1"/>
  <c r="D41" i="13"/>
  <c r="I39" i="13"/>
  <c r="AN39" i="13" s="1"/>
  <c r="D39" i="13"/>
  <c r="I38" i="13"/>
  <c r="AM38" i="13" s="1"/>
  <c r="BE38" i="13" s="1"/>
  <c r="D38" i="13"/>
  <c r="I37" i="13"/>
  <c r="U37" i="13" s="1"/>
  <c r="D37" i="13"/>
  <c r="I35" i="13"/>
  <c r="AL35" i="13" s="1"/>
  <c r="BE35" i="13" s="1"/>
  <c r="D35" i="13"/>
  <c r="I32" i="13"/>
  <c r="U32" i="13" s="1"/>
  <c r="BE32" i="13" s="1"/>
  <c r="D32" i="13"/>
  <c r="AK31" i="13"/>
  <c r="AJ31" i="13"/>
  <c r="AI31" i="13"/>
  <c r="AI55" i="13" s="1"/>
  <c r="AH31" i="13"/>
  <c r="AG31" i="13"/>
  <c r="T31" i="13"/>
  <c r="D31" i="13"/>
  <c r="I28" i="13"/>
  <c r="AF28" i="13" s="1"/>
  <c r="D28" i="13"/>
  <c r="I27" i="13"/>
  <c r="U27" i="13" s="1"/>
  <c r="BE27" i="13" s="1"/>
  <c r="D27" i="13"/>
  <c r="AE26" i="13"/>
  <c r="AE55" i="13" s="1"/>
  <c r="AD26" i="13"/>
  <c r="BE26" i="13" s="1"/>
  <c r="D26" i="13"/>
  <c r="I25" i="13"/>
  <c r="AC25" i="13" s="1"/>
  <c r="BE25" i="13" s="1"/>
  <c r="D25" i="13"/>
  <c r="I24" i="13"/>
  <c r="AC24" i="13" s="1"/>
  <c r="D24" i="13"/>
  <c r="I23" i="13"/>
  <c r="AB23" i="13" s="1"/>
  <c r="BE23" i="13" s="1"/>
  <c r="D23" i="13"/>
  <c r="D22" i="13"/>
  <c r="AW21" i="13"/>
  <c r="D21" i="13"/>
  <c r="AA20" i="13"/>
  <c r="D20" i="13"/>
  <c r="I19" i="13"/>
  <c r="AA19" i="13" s="1"/>
  <c r="D19" i="13"/>
  <c r="C18" i="13"/>
  <c r="C56" i="13" s="1"/>
  <c r="C95" i="13" s="1"/>
  <c r="C129" i="13" s="1"/>
  <c r="BD17" i="13"/>
  <c r="BC17" i="13"/>
  <c r="AX17" i="13"/>
  <c r="AT17" i="13"/>
  <c r="AR17" i="13"/>
  <c r="AQ17" i="13"/>
  <c r="AP17" i="13"/>
  <c r="AN17" i="13"/>
  <c r="AM17" i="13"/>
  <c r="AL17" i="13"/>
  <c r="AK17" i="13"/>
  <c r="AJ17" i="13"/>
  <c r="AI17" i="13"/>
  <c r="AH17" i="13"/>
  <c r="AG17" i="13"/>
  <c r="AF17" i="13"/>
  <c r="AE17" i="13"/>
  <c r="AD17" i="13"/>
  <c r="AC17" i="13"/>
  <c r="AB17" i="13"/>
  <c r="AA17" i="13"/>
  <c r="Y17" i="13"/>
  <c r="X17" i="13"/>
  <c r="C15" i="13"/>
  <c r="I14" i="13"/>
  <c r="AW14" i="13" s="1"/>
  <c r="D14" i="13"/>
  <c r="I13" i="13"/>
  <c r="Z13" i="13" s="1"/>
  <c r="Z17" i="13" s="1"/>
  <c r="D13" i="13"/>
  <c r="I12" i="13"/>
  <c r="W12" i="13" s="1"/>
  <c r="BE12" i="13" s="1"/>
  <c r="D12" i="13"/>
  <c r="I11" i="13"/>
  <c r="W11" i="13" s="1"/>
  <c r="BE11" i="13" s="1"/>
  <c r="D11" i="13"/>
  <c r="I9" i="13"/>
  <c r="W9" i="13" s="1"/>
  <c r="BE9" i="13" s="1"/>
  <c r="D9" i="13"/>
  <c r="I8" i="13"/>
  <c r="W8" i="13" s="1"/>
  <c r="BE8" i="13" s="1"/>
  <c r="D8" i="13"/>
  <c r="I7" i="13"/>
  <c r="W7" i="13" s="1"/>
  <c r="D7" i="13"/>
  <c r="I6" i="13"/>
  <c r="V6" i="13" s="1"/>
  <c r="D6" i="13"/>
  <c r="I5" i="13"/>
  <c r="U5" i="13" s="1"/>
  <c r="U17" i="13" s="1"/>
  <c r="D5" i="13"/>
  <c r="F5" i="13" s="1"/>
  <c r="N9" i="14" l="1"/>
  <c r="S9" i="14"/>
  <c r="N73" i="14"/>
  <c r="S73" i="14"/>
  <c r="S13" i="14"/>
  <c r="N25" i="14"/>
  <c r="S25" i="14"/>
  <c r="C35" i="14"/>
  <c r="G35" i="14"/>
  <c r="S33" i="14"/>
  <c r="S34" i="14"/>
  <c r="S38" i="14"/>
  <c r="S42" i="14"/>
  <c r="B62" i="14"/>
  <c r="N71" i="14"/>
  <c r="S74" i="14"/>
  <c r="N82" i="14"/>
  <c r="S82" i="14"/>
  <c r="N95" i="14"/>
  <c r="S97" i="14"/>
  <c r="S76" i="14"/>
  <c r="S12" i="14"/>
  <c r="N22" i="14"/>
  <c r="S22" i="14"/>
  <c r="H35" i="14"/>
  <c r="S30" i="14"/>
  <c r="E77" i="14"/>
  <c r="S72" i="14"/>
  <c r="S85" i="14"/>
  <c r="S7" i="14"/>
  <c r="N8" i="14"/>
  <c r="S8" i="14"/>
  <c r="B26" i="14"/>
  <c r="S20" i="14"/>
  <c r="N23" i="14"/>
  <c r="S23" i="14"/>
  <c r="N31" i="14"/>
  <c r="S39" i="14"/>
  <c r="D50" i="14"/>
  <c r="N47" i="14"/>
  <c r="S47" i="14"/>
  <c r="S68" i="14"/>
  <c r="S71" i="14"/>
  <c r="S93" i="14"/>
  <c r="F15" i="14"/>
  <c r="F16" i="14" s="1"/>
  <c r="D63" i="14"/>
  <c r="D35" i="14"/>
  <c r="N74" i="14"/>
  <c r="N85" i="14"/>
  <c r="AW157" i="13"/>
  <c r="AW190" i="13" s="1"/>
  <c r="BE132" i="13"/>
  <c r="AB189" i="13"/>
  <c r="M28" i="14" s="1"/>
  <c r="BE162" i="13"/>
  <c r="G57" i="14"/>
  <c r="G63" i="14" s="1"/>
  <c r="B98" i="14"/>
  <c r="F98" i="14"/>
  <c r="BE88" i="13"/>
  <c r="AY128" i="13"/>
  <c r="K54" i="14" s="1"/>
  <c r="BE100" i="13"/>
  <c r="BE33" i="13"/>
  <c r="AY55" i="13"/>
  <c r="S54" i="14" s="1"/>
  <c r="BE30" i="13"/>
  <c r="AS55" i="13"/>
  <c r="AW55" i="13"/>
  <c r="BE21" i="13"/>
  <c r="AW128" i="13"/>
  <c r="BE98" i="13"/>
  <c r="AB94" i="13"/>
  <c r="BE60" i="13"/>
  <c r="BE65" i="13"/>
  <c r="V189" i="13"/>
  <c r="BE181" i="13"/>
  <c r="J15" i="14"/>
  <c r="J16" i="14" s="1"/>
  <c r="E26" i="14"/>
  <c r="E98" i="14"/>
  <c r="N97" i="14"/>
  <c r="BE31" i="13"/>
  <c r="AW94" i="13"/>
  <c r="BE59" i="13"/>
  <c r="AX94" i="13"/>
  <c r="BE62" i="13"/>
  <c r="E15" i="14"/>
  <c r="E16" i="14" s="1"/>
  <c r="I15" i="14"/>
  <c r="I16" i="14" s="1"/>
  <c r="M15" i="14"/>
  <c r="M16" i="14" s="1"/>
  <c r="H15" i="14"/>
  <c r="H16" i="14" s="1"/>
  <c r="L15" i="14"/>
  <c r="L16" i="14" s="1"/>
  <c r="N12" i="14"/>
  <c r="E62" i="14"/>
  <c r="E63" i="14" s="1"/>
  <c r="D77" i="14"/>
  <c r="D87" i="14" s="1"/>
  <c r="C98" i="14"/>
  <c r="G98" i="14"/>
  <c r="BB128" i="13"/>
  <c r="K41" i="14" s="1"/>
  <c r="BE116" i="13"/>
  <c r="BE99" i="13"/>
  <c r="AT80" i="13"/>
  <c r="BE80" i="13" s="1"/>
  <c r="AH55" i="13"/>
  <c r="AH190" i="13" s="1"/>
  <c r="N7" i="14"/>
  <c r="F26" i="14"/>
  <c r="F50" i="14" s="1"/>
  <c r="N24" i="14"/>
  <c r="G26" i="14"/>
  <c r="N34" i="14"/>
  <c r="B57" i="14"/>
  <c r="N56" i="14"/>
  <c r="P56" i="14"/>
  <c r="N72" i="14"/>
  <c r="P72" i="14"/>
  <c r="D98" i="14"/>
  <c r="AY94" i="13"/>
  <c r="BE61" i="13"/>
  <c r="BE29" i="13"/>
  <c r="BE79" i="13"/>
  <c r="AZ94" i="13"/>
  <c r="AU190" i="13"/>
  <c r="P76" i="14"/>
  <c r="N43" i="14"/>
  <c r="AT94" i="13"/>
  <c r="D80" i="13"/>
  <c r="BA190" i="13"/>
  <c r="U189" i="13"/>
  <c r="N21" i="14"/>
  <c r="AJ55" i="13"/>
  <c r="AJ190" i="13" s="1"/>
  <c r="BE103" i="13"/>
  <c r="BB94" i="13"/>
  <c r="AG55" i="13"/>
  <c r="AK55" i="13"/>
  <c r="AK190" i="13" s="1"/>
  <c r="BE42" i="13"/>
  <c r="AC94" i="13"/>
  <c r="BE137" i="13"/>
  <c r="AM128" i="13"/>
  <c r="AY190" i="13"/>
  <c r="X157" i="13"/>
  <c r="BE155" i="13"/>
  <c r="AM189" i="13"/>
  <c r="BE145" i="13"/>
  <c r="AP157" i="13"/>
  <c r="AM94" i="13"/>
  <c r="W208" i="13"/>
  <c r="BE68" i="13"/>
  <c r="X94" i="13"/>
  <c r="F6" i="13"/>
  <c r="F7" i="13" s="1"/>
  <c r="F8" i="13" s="1"/>
  <c r="F9" i="13" s="1"/>
  <c r="AV15" i="13"/>
  <c r="AV17" i="13" s="1"/>
  <c r="D15" i="13"/>
  <c r="C77" i="14"/>
  <c r="B14" i="14"/>
  <c r="N13" i="14"/>
  <c r="D40" i="14"/>
  <c r="N76" i="14"/>
  <c r="C15" i="14"/>
  <c r="C16" i="14" s="1"/>
  <c r="G15" i="14"/>
  <c r="G16" i="14" s="1"/>
  <c r="K15" i="14"/>
  <c r="K16" i="14" s="1"/>
  <c r="C14" i="14"/>
  <c r="E35" i="14"/>
  <c r="E50" i="14" s="1"/>
  <c r="N33" i="14"/>
  <c r="E40" i="14"/>
  <c r="B63" i="14"/>
  <c r="F62" i="14"/>
  <c r="F63" i="14" s="1"/>
  <c r="B77" i="14"/>
  <c r="F77" i="14"/>
  <c r="F87" i="14" s="1"/>
  <c r="G77" i="14"/>
  <c r="N67" i="14"/>
  <c r="N75" i="14"/>
  <c r="D14" i="14"/>
  <c r="N42" i="14"/>
  <c r="C26" i="14"/>
  <c r="C50" i="14" s="1"/>
  <c r="B35" i="14"/>
  <c r="AF55" i="13"/>
  <c r="BE6" i="13"/>
  <c r="V17" i="13"/>
  <c r="BE19" i="13"/>
  <c r="AB55" i="13"/>
  <c r="AN55" i="13"/>
  <c r="BE39" i="13"/>
  <c r="AP55" i="13"/>
  <c r="BE41" i="13"/>
  <c r="U55" i="13"/>
  <c r="AL55" i="13"/>
  <c r="AL190" i="13" s="1"/>
  <c r="W17" i="13"/>
  <c r="BE7" i="13"/>
  <c r="BE14" i="13"/>
  <c r="AW17" i="13"/>
  <c r="AC55" i="13"/>
  <c r="AM55" i="13"/>
  <c r="V55" i="13"/>
  <c r="BE46" i="13"/>
  <c r="BC129" i="13"/>
  <c r="BC157" i="13" s="1"/>
  <c r="C158" i="13"/>
  <c r="X189" i="13"/>
  <c r="BE187" i="13"/>
  <c r="BE5" i="13"/>
  <c r="AV85" i="13"/>
  <c r="D85" i="13"/>
  <c r="D95" i="13"/>
  <c r="AC128" i="13"/>
  <c r="BE111" i="13"/>
  <c r="Z128" i="13"/>
  <c r="BE125" i="13"/>
  <c r="U157" i="13"/>
  <c r="BE138" i="13"/>
  <c r="V157" i="13"/>
  <c r="AC189" i="13"/>
  <c r="V94" i="13"/>
  <c r="AX190" i="13"/>
  <c r="AB157" i="13"/>
  <c r="D148" i="13"/>
  <c r="BE13" i="13"/>
  <c r="D18" i="13"/>
  <c r="D56" i="13"/>
  <c r="BE73" i="13"/>
  <c r="BC95" i="13"/>
  <c r="U128" i="13"/>
  <c r="V128" i="13"/>
  <c r="AE128" i="13"/>
  <c r="AE190" i="13" s="1"/>
  <c r="D129" i="13"/>
  <c r="Z157" i="13"/>
  <c r="AM157" i="13"/>
  <c r="AN189" i="13"/>
  <c r="Z189" i="13"/>
  <c r="AF189" i="13"/>
  <c r="BE75" i="13"/>
  <c r="BC18" i="13"/>
  <c r="BE50" i="13"/>
  <c r="X55" i="13"/>
  <c r="BE51" i="13"/>
  <c r="BC56" i="13"/>
  <c r="BE67" i="13"/>
  <c r="BE91" i="13"/>
  <c r="U94" i="13"/>
  <c r="BE104" i="13"/>
  <c r="AF128" i="13"/>
  <c r="BE105" i="13"/>
  <c r="AN128" i="13"/>
  <c r="BE109" i="13"/>
  <c r="BE126" i="13"/>
  <c r="X128" i="13"/>
  <c r="AG190" i="13"/>
  <c r="BE139" i="13"/>
  <c r="AF157" i="13"/>
  <c r="AC157" i="13"/>
  <c r="AP189" i="13"/>
  <c r="BE143" i="13"/>
  <c r="AN157" i="13"/>
  <c r="AI190" i="13"/>
  <c r="BD190" i="13"/>
  <c r="AV148" i="12"/>
  <c r="D148" i="12"/>
  <c r="AV120" i="12"/>
  <c r="D120" i="12"/>
  <c r="AV90" i="12"/>
  <c r="D90" i="12"/>
  <c r="AV56" i="12"/>
  <c r="D56" i="12"/>
  <c r="AV21" i="12"/>
  <c r="D21" i="12"/>
  <c r="AA20" i="12"/>
  <c r="D20" i="12"/>
  <c r="AA147" i="12"/>
  <c r="D147" i="12"/>
  <c r="AA119" i="12"/>
  <c r="D119" i="12"/>
  <c r="AA89" i="12"/>
  <c r="D89" i="12"/>
  <c r="D91" i="12"/>
  <c r="I91" i="12"/>
  <c r="AB91" i="12"/>
  <c r="AZ91" i="12" s="1"/>
  <c r="AA55" i="12"/>
  <c r="D55" i="12"/>
  <c r="F99" i="14" l="1"/>
  <c r="F100" i="14" s="1"/>
  <c r="F101" i="14" s="1"/>
  <c r="D99" i="14"/>
  <c r="G87" i="14"/>
  <c r="P54" i="14"/>
  <c r="S14" i="14"/>
  <c r="C87" i="14"/>
  <c r="C99" i="14" s="1"/>
  <c r="C100" i="14" s="1"/>
  <c r="C101" i="14" s="1"/>
  <c r="E87" i="14"/>
  <c r="E99" i="14" s="1"/>
  <c r="E100" i="14" s="1"/>
  <c r="E101" i="14" s="1"/>
  <c r="G50" i="14"/>
  <c r="D15" i="14"/>
  <c r="N32" i="14"/>
  <c r="AZ190" i="13"/>
  <c r="N54" i="14"/>
  <c r="N41" i="14"/>
  <c r="AB190" i="13"/>
  <c r="BC94" i="13"/>
  <c r="BE56" i="13"/>
  <c r="BC55" i="13"/>
  <c r="BE18" i="13"/>
  <c r="AV94" i="13"/>
  <c r="BE85" i="13"/>
  <c r="BC128" i="13"/>
  <c r="BE95" i="13"/>
  <c r="BB190" i="13"/>
  <c r="AP190" i="13"/>
  <c r="V190" i="13"/>
  <c r="AM190" i="13"/>
  <c r="U190" i="13"/>
  <c r="BE129" i="13"/>
  <c r="AN190" i="13"/>
  <c r="AF190" i="13"/>
  <c r="BE15" i="13"/>
  <c r="B87" i="14"/>
  <c r="N14" i="14"/>
  <c r="B15" i="14"/>
  <c r="B50" i="14"/>
  <c r="AC190" i="13"/>
  <c r="Z190" i="13"/>
  <c r="D158" i="13"/>
  <c r="BC158" i="13"/>
  <c r="BC189" i="13" s="1"/>
  <c r="X190" i="13"/>
  <c r="AV168" i="2"/>
  <c r="AV166" i="2"/>
  <c r="AV138" i="2"/>
  <c r="AV112" i="2"/>
  <c r="AV59" i="2"/>
  <c r="AY59" i="2" s="1"/>
  <c r="AY63" i="2"/>
  <c r="AY64" i="2"/>
  <c r="AV51" i="2"/>
  <c r="D59" i="2"/>
  <c r="AW51" i="7"/>
  <c r="AW140" i="7"/>
  <c r="AW113" i="7"/>
  <c r="AW17" i="7"/>
  <c r="AX17" i="7"/>
  <c r="AW169" i="7"/>
  <c r="AY169" i="7"/>
  <c r="AW171" i="7"/>
  <c r="AX171" i="7"/>
  <c r="AY171" i="7"/>
  <c r="AW59" i="7"/>
  <c r="AW84" i="7" s="1"/>
  <c r="D59" i="7"/>
  <c r="G99" i="14" l="1"/>
  <c r="D16" i="14"/>
  <c r="S15" i="14"/>
  <c r="AW170" i="7"/>
  <c r="J44" i="8"/>
  <c r="AV83" i="2"/>
  <c r="J44" i="1" s="1"/>
  <c r="AZ59" i="7"/>
  <c r="BC190" i="13"/>
  <c r="B99" i="14"/>
  <c r="B16" i="14"/>
  <c r="N15" i="14"/>
  <c r="BE158" i="13"/>
  <c r="AW164" i="9"/>
  <c r="AW166" i="9"/>
  <c r="AW136" i="9"/>
  <c r="AW110" i="9"/>
  <c r="AW82" i="9"/>
  <c r="J44" i="10" s="1"/>
  <c r="AW59" i="9"/>
  <c r="AZ59" i="9" s="1"/>
  <c r="AW50" i="9"/>
  <c r="AW17" i="9"/>
  <c r="D59" i="9"/>
  <c r="I59" i="9"/>
  <c r="AW174" i="12"/>
  <c r="AW176" i="12"/>
  <c r="AW58" i="12"/>
  <c r="AZ118" i="12"/>
  <c r="AW144" i="12"/>
  <c r="AW116" i="12"/>
  <c r="AW86" i="12"/>
  <c r="AW52" i="12"/>
  <c r="AW17" i="12"/>
  <c r="D58" i="12"/>
  <c r="C51" i="9"/>
  <c r="D51" i="9" s="1"/>
  <c r="AX176" i="12"/>
  <c r="AX17" i="12"/>
  <c r="C18" i="12"/>
  <c r="D18" i="12" s="1"/>
  <c r="AX17" i="9"/>
  <c r="AX18" i="9"/>
  <c r="AX50" i="9" s="1"/>
  <c r="I63" i="10" s="1"/>
  <c r="D18" i="9"/>
  <c r="D173" i="12"/>
  <c r="D143" i="12"/>
  <c r="D115" i="12"/>
  <c r="D85" i="12"/>
  <c r="D203" i="12"/>
  <c r="F203" i="12" s="1"/>
  <c r="U203" i="12" s="1"/>
  <c r="V203" i="12" s="1"/>
  <c r="W203" i="12" s="1"/>
  <c r="X203" i="12" s="1"/>
  <c r="D202" i="12"/>
  <c r="F202" i="12" s="1"/>
  <c r="U202" i="12" s="1"/>
  <c r="V202" i="12" s="1"/>
  <c r="W202" i="12" s="1"/>
  <c r="X202" i="12" s="1"/>
  <c r="W197" i="12"/>
  <c r="W199" i="12" s="1"/>
  <c r="W192" i="12"/>
  <c r="W189" i="12"/>
  <c r="W180" i="12"/>
  <c r="W184" i="12" s="1"/>
  <c r="W183" i="12" s="1"/>
  <c r="AY176" i="12"/>
  <c r="AV176" i="12"/>
  <c r="AU176" i="12"/>
  <c r="AT176" i="12"/>
  <c r="AS176" i="12"/>
  <c r="AR176" i="12"/>
  <c r="AQ176" i="12"/>
  <c r="AP176" i="12"/>
  <c r="AO176" i="12"/>
  <c r="AY174" i="12"/>
  <c r="AV174" i="12"/>
  <c r="AU174" i="12"/>
  <c r="AT174" i="12"/>
  <c r="AS174" i="12"/>
  <c r="AO174" i="12"/>
  <c r="AL174" i="12"/>
  <c r="AK174" i="12"/>
  <c r="AJ174" i="12"/>
  <c r="AI174" i="12"/>
  <c r="AH174" i="12"/>
  <c r="AG174" i="12"/>
  <c r="I173" i="12"/>
  <c r="AA173" i="12" s="1"/>
  <c r="AZ173" i="12" s="1"/>
  <c r="I172" i="12"/>
  <c r="X172" i="12" s="1"/>
  <c r="D172" i="12"/>
  <c r="I171" i="12"/>
  <c r="Z171" i="12" s="1"/>
  <c r="AZ171" i="12" s="1"/>
  <c r="D171" i="12"/>
  <c r="I170" i="12"/>
  <c r="W170" i="12" s="1"/>
  <c r="AZ170" i="12" s="1"/>
  <c r="D170" i="12"/>
  <c r="W169" i="12"/>
  <c r="AZ169" i="12" s="1"/>
  <c r="I169" i="12"/>
  <c r="D169" i="12"/>
  <c r="I168" i="12"/>
  <c r="W168" i="12" s="1"/>
  <c r="AZ168" i="12" s="1"/>
  <c r="D168" i="12"/>
  <c r="I167" i="12"/>
  <c r="W167" i="12" s="1"/>
  <c r="AZ167" i="12" s="1"/>
  <c r="D167" i="12"/>
  <c r="I166" i="12"/>
  <c r="V166" i="12" s="1"/>
  <c r="D166" i="12"/>
  <c r="I164" i="12"/>
  <c r="U164" i="12" s="1"/>
  <c r="AZ164" i="12" s="1"/>
  <c r="D164" i="12"/>
  <c r="AZ162" i="12"/>
  <c r="AZ161" i="12"/>
  <c r="I160" i="12"/>
  <c r="AP160" i="12" s="1"/>
  <c r="D160" i="12"/>
  <c r="I159" i="12"/>
  <c r="U159" i="12" s="1"/>
  <c r="AZ159" i="12" s="1"/>
  <c r="D159" i="12"/>
  <c r="I158" i="12"/>
  <c r="AN158" i="12" s="1"/>
  <c r="D158" i="12"/>
  <c r="I157" i="12"/>
  <c r="AM157" i="12" s="1"/>
  <c r="D157" i="12"/>
  <c r="I156" i="12"/>
  <c r="U156" i="12" s="1"/>
  <c r="AZ156" i="12" s="1"/>
  <c r="D156" i="12"/>
  <c r="I154" i="12"/>
  <c r="AF154" i="12" s="1"/>
  <c r="D154" i="12"/>
  <c r="I153" i="12"/>
  <c r="U153" i="12" s="1"/>
  <c r="D153" i="12"/>
  <c r="AE152" i="12"/>
  <c r="AE174" i="12" s="1"/>
  <c r="AD152" i="12"/>
  <c r="D152" i="12"/>
  <c r="I151" i="12"/>
  <c r="AC151" i="12" s="1"/>
  <c r="AZ151" i="12" s="1"/>
  <c r="D151" i="12"/>
  <c r="I150" i="12"/>
  <c r="AC150" i="12" s="1"/>
  <c r="AZ150" i="12" s="1"/>
  <c r="D150" i="12"/>
  <c r="I149" i="12"/>
  <c r="AB149" i="12" s="1"/>
  <c r="AZ149" i="12" s="1"/>
  <c r="D149" i="12"/>
  <c r="AZ146" i="12"/>
  <c r="D146" i="12"/>
  <c r="AY144" i="12"/>
  <c r="AV144" i="12"/>
  <c r="AU144" i="12"/>
  <c r="AT144" i="12"/>
  <c r="AS144" i="12"/>
  <c r="AO144" i="12"/>
  <c r="AL144" i="12"/>
  <c r="AK144" i="12"/>
  <c r="AJ144" i="12"/>
  <c r="AI144" i="12"/>
  <c r="AH144" i="12"/>
  <c r="AG144" i="12"/>
  <c r="I143" i="12"/>
  <c r="AA143" i="12" s="1"/>
  <c r="AZ143" i="12" s="1"/>
  <c r="I142" i="12"/>
  <c r="X142" i="12" s="1"/>
  <c r="D142" i="12"/>
  <c r="I141" i="12"/>
  <c r="Z141" i="12" s="1"/>
  <c r="D141" i="12"/>
  <c r="I140" i="12"/>
  <c r="W140" i="12" s="1"/>
  <c r="AZ140" i="12" s="1"/>
  <c r="D140" i="12"/>
  <c r="I139" i="12"/>
  <c r="W139" i="12" s="1"/>
  <c r="AZ139" i="12" s="1"/>
  <c r="D139" i="12"/>
  <c r="I138" i="12"/>
  <c r="W138" i="12" s="1"/>
  <c r="AZ138" i="12" s="1"/>
  <c r="D138" i="12"/>
  <c r="I137" i="12"/>
  <c r="W137" i="12" s="1"/>
  <c r="AZ137" i="12" s="1"/>
  <c r="D137" i="12"/>
  <c r="I136" i="12"/>
  <c r="V136" i="12" s="1"/>
  <c r="V144" i="12" s="1"/>
  <c r="D136" i="12"/>
  <c r="I134" i="12"/>
  <c r="U134" i="12" s="1"/>
  <c r="AZ134" i="12" s="1"/>
  <c r="D134" i="12"/>
  <c r="I132" i="12"/>
  <c r="AP132" i="12" s="1"/>
  <c r="AZ132" i="12" s="1"/>
  <c r="D132" i="12"/>
  <c r="I131" i="12"/>
  <c r="U131" i="12" s="1"/>
  <c r="AZ131" i="12" s="1"/>
  <c r="D131" i="12"/>
  <c r="I130" i="12"/>
  <c r="AN130" i="12" s="1"/>
  <c r="D130" i="12"/>
  <c r="I129" i="12"/>
  <c r="AM129" i="12" s="1"/>
  <c r="D129" i="12"/>
  <c r="I128" i="12"/>
  <c r="U128" i="12" s="1"/>
  <c r="AZ128" i="12" s="1"/>
  <c r="D128" i="12"/>
  <c r="I126" i="12"/>
  <c r="AF126" i="12" s="1"/>
  <c r="AZ126" i="12" s="1"/>
  <c r="D126" i="12"/>
  <c r="I125" i="12"/>
  <c r="U125" i="12" s="1"/>
  <c r="D125" i="12"/>
  <c r="AZ124" i="12"/>
  <c r="AE124" i="12"/>
  <c r="AE144" i="12" s="1"/>
  <c r="AD124" i="12"/>
  <c r="D124" i="12"/>
  <c r="I123" i="12"/>
  <c r="AC123" i="12" s="1"/>
  <c r="AZ123" i="12" s="1"/>
  <c r="D123" i="12"/>
  <c r="I122" i="12"/>
  <c r="AC122" i="12" s="1"/>
  <c r="AZ122" i="12" s="1"/>
  <c r="D122" i="12"/>
  <c r="I121" i="12"/>
  <c r="AB121" i="12" s="1"/>
  <c r="AZ121" i="12" s="1"/>
  <c r="D121" i="12"/>
  <c r="D118" i="12"/>
  <c r="AY116" i="12"/>
  <c r="AV116" i="12"/>
  <c r="AU116" i="12"/>
  <c r="AT116" i="12"/>
  <c r="AS116" i="12"/>
  <c r="AO116" i="12"/>
  <c r="AL116" i="12"/>
  <c r="AK116" i="12"/>
  <c r="AJ116" i="12"/>
  <c r="AI116" i="12"/>
  <c r="AH116" i="12"/>
  <c r="AG116" i="12"/>
  <c r="I115" i="12"/>
  <c r="AA115" i="12" s="1"/>
  <c r="I114" i="12"/>
  <c r="X114" i="12" s="1"/>
  <c r="X116" i="12" s="1"/>
  <c r="D114" i="12"/>
  <c r="I113" i="12"/>
  <c r="Z113" i="12" s="1"/>
  <c r="D113" i="12"/>
  <c r="I112" i="12"/>
  <c r="W112" i="12" s="1"/>
  <c r="AZ112" i="12" s="1"/>
  <c r="D112" i="12"/>
  <c r="I111" i="12"/>
  <c r="W111" i="12" s="1"/>
  <c r="AZ111" i="12" s="1"/>
  <c r="D111" i="12"/>
  <c r="I110" i="12"/>
  <c r="W110" i="12" s="1"/>
  <c r="AZ110" i="12" s="1"/>
  <c r="D110" i="12"/>
  <c r="I109" i="12"/>
  <c r="W109" i="12" s="1"/>
  <c r="AZ109" i="12" s="1"/>
  <c r="D109" i="12"/>
  <c r="AZ108" i="12"/>
  <c r="I107" i="12"/>
  <c r="V107" i="12" s="1"/>
  <c r="D107" i="12"/>
  <c r="I105" i="12"/>
  <c r="U105" i="12" s="1"/>
  <c r="AZ105" i="12" s="1"/>
  <c r="D105" i="12"/>
  <c r="AZ103" i="12"/>
  <c r="I103" i="12"/>
  <c r="D103" i="12"/>
  <c r="I102" i="12"/>
  <c r="AP102" i="12" s="1"/>
  <c r="AZ102" i="12" s="1"/>
  <c r="D102" i="12"/>
  <c r="I101" i="12"/>
  <c r="U101" i="12" s="1"/>
  <c r="AZ101" i="12" s="1"/>
  <c r="D101" i="12"/>
  <c r="I100" i="12"/>
  <c r="AN100" i="12" s="1"/>
  <c r="D100" i="12"/>
  <c r="I99" i="12"/>
  <c r="AM99" i="12" s="1"/>
  <c r="D99" i="12"/>
  <c r="I98" i="12"/>
  <c r="U98" i="12" s="1"/>
  <c r="AZ98" i="12" s="1"/>
  <c r="D98" i="12"/>
  <c r="I96" i="12"/>
  <c r="AF96" i="12" s="1"/>
  <c r="D96" i="12"/>
  <c r="I95" i="12"/>
  <c r="U95" i="12" s="1"/>
  <c r="AZ95" i="12" s="1"/>
  <c r="D95" i="12"/>
  <c r="AE94" i="12"/>
  <c r="AE116" i="12" s="1"/>
  <c r="AD94" i="12"/>
  <c r="D94" i="12"/>
  <c r="I93" i="12"/>
  <c r="AC93" i="12" s="1"/>
  <c r="AZ93" i="12" s="1"/>
  <c r="D93" i="12"/>
  <c r="I92" i="12"/>
  <c r="AC92" i="12" s="1"/>
  <c r="AZ92" i="12" s="1"/>
  <c r="D92" i="12"/>
  <c r="AB116" i="12"/>
  <c r="AZ88" i="12"/>
  <c r="D88" i="12"/>
  <c r="AY86" i="12"/>
  <c r="AV86" i="12"/>
  <c r="AT86" i="12"/>
  <c r="AS86" i="12"/>
  <c r="AO86" i="12"/>
  <c r="AL86" i="12"/>
  <c r="I85" i="12"/>
  <c r="AA85" i="12" s="1"/>
  <c r="I84" i="12"/>
  <c r="X84" i="12" s="1"/>
  <c r="AZ84" i="12" s="1"/>
  <c r="D84" i="12"/>
  <c r="I83" i="12"/>
  <c r="Z83" i="12" s="1"/>
  <c r="AZ83" i="12" s="1"/>
  <c r="D83" i="12"/>
  <c r="I82" i="12"/>
  <c r="W82" i="12" s="1"/>
  <c r="AZ82" i="12" s="1"/>
  <c r="D82" i="12"/>
  <c r="I81" i="12"/>
  <c r="W81" i="12" s="1"/>
  <c r="AZ81" i="12" s="1"/>
  <c r="D81" i="12"/>
  <c r="X80" i="12"/>
  <c r="D80" i="12"/>
  <c r="I79" i="12"/>
  <c r="W79" i="12" s="1"/>
  <c r="AZ79" i="12" s="1"/>
  <c r="D79" i="12"/>
  <c r="I78" i="12"/>
  <c r="W78" i="12" s="1"/>
  <c r="AZ78" i="12" s="1"/>
  <c r="D78" i="12"/>
  <c r="C77" i="12"/>
  <c r="I76" i="12"/>
  <c r="V76" i="12" s="1"/>
  <c r="D76" i="12"/>
  <c r="I74" i="12"/>
  <c r="U74" i="12" s="1"/>
  <c r="AZ74" i="12" s="1"/>
  <c r="D74" i="12"/>
  <c r="AZ73" i="12"/>
  <c r="I71" i="12"/>
  <c r="AP71" i="12" s="1"/>
  <c r="AP86" i="12" s="1"/>
  <c r="D71" i="12"/>
  <c r="I70" i="12"/>
  <c r="U70" i="12" s="1"/>
  <c r="AZ70" i="12" s="1"/>
  <c r="D70" i="12"/>
  <c r="I69" i="12"/>
  <c r="AN69" i="12" s="1"/>
  <c r="AN86" i="12" s="1"/>
  <c r="D69" i="12"/>
  <c r="I68" i="12"/>
  <c r="AM68" i="12" s="1"/>
  <c r="D68" i="12"/>
  <c r="AZ67" i="12"/>
  <c r="AZ66" i="12"/>
  <c r="I66" i="12"/>
  <c r="I65" i="12"/>
  <c r="U65" i="12" s="1"/>
  <c r="AZ65" i="12" s="1"/>
  <c r="D65" i="12"/>
  <c r="AK64" i="12"/>
  <c r="AK86" i="12" s="1"/>
  <c r="AJ64" i="12"/>
  <c r="AJ86" i="12" s="1"/>
  <c r="AI64" i="12"/>
  <c r="AI86" i="12" s="1"/>
  <c r="AH64" i="12"/>
  <c r="AH86" i="12" s="1"/>
  <c r="AG64" i="12"/>
  <c r="AG86" i="12" s="1"/>
  <c r="T64" i="12"/>
  <c r="C64" i="12" s="1"/>
  <c r="D64" i="12" s="1"/>
  <c r="I63" i="12"/>
  <c r="AF63" i="12" s="1"/>
  <c r="AF86" i="12" s="1"/>
  <c r="D63" i="12"/>
  <c r="I62" i="12"/>
  <c r="U62" i="12" s="1"/>
  <c r="D62" i="12"/>
  <c r="AE61" i="12"/>
  <c r="AE86" i="12" s="1"/>
  <c r="AD61" i="12"/>
  <c r="D61" i="12"/>
  <c r="I60" i="12"/>
  <c r="AC60" i="12" s="1"/>
  <c r="AZ60" i="12" s="1"/>
  <c r="D60" i="12"/>
  <c r="I59" i="12"/>
  <c r="AC59" i="12" s="1"/>
  <c r="AZ59" i="12" s="1"/>
  <c r="D59" i="12"/>
  <c r="I57" i="12"/>
  <c r="AB57" i="12" s="1"/>
  <c r="D57" i="12"/>
  <c r="AZ54" i="12"/>
  <c r="D54" i="12"/>
  <c r="AY52" i="12"/>
  <c r="AV52" i="12"/>
  <c r="AS52" i="12"/>
  <c r="AO52" i="12"/>
  <c r="I51" i="12"/>
  <c r="AA51" i="12" s="1"/>
  <c r="AZ51" i="12" s="1"/>
  <c r="D51" i="12"/>
  <c r="I50" i="12"/>
  <c r="W50" i="12" s="1"/>
  <c r="AZ50" i="12" s="1"/>
  <c r="D50" i="12"/>
  <c r="I49" i="12"/>
  <c r="W49" i="12" s="1"/>
  <c r="AZ49" i="12" s="1"/>
  <c r="D49" i="12"/>
  <c r="I48" i="12"/>
  <c r="X48" i="12" s="1"/>
  <c r="X52" i="12" s="1"/>
  <c r="D48" i="12"/>
  <c r="I47" i="12"/>
  <c r="Z47" i="12" s="1"/>
  <c r="D47" i="12"/>
  <c r="I46" i="12"/>
  <c r="W46" i="12" s="1"/>
  <c r="AZ46" i="12" s="1"/>
  <c r="D46" i="12"/>
  <c r="I45" i="12"/>
  <c r="W45" i="12" s="1"/>
  <c r="AZ45" i="12" s="1"/>
  <c r="D45" i="12"/>
  <c r="I44" i="12"/>
  <c r="W44" i="12" s="1"/>
  <c r="AZ44" i="12" s="1"/>
  <c r="D44" i="12"/>
  <c r="I43" i="12"/>
  <c r="V43" i="12" s="1"/>
  <c r="D43" i="12"/>
  <c r="AZ42" i="12"/>
  <c r="D42" i="12"/>
  <c r="I40" i="12"/>
  <c r="U40" i="12" s="1"/>
  <c r="AZ40" i="12" s="1"/>
  <c r="D40" i="12"/>
  <c r="AK39" i="12"/>
  <c r="AJ39" i="12"/>
  <c r="AI39" i="12"/>
  <c r="AH39" i="12"/>
  <c r="AG39" i="12"/>
  <c r="T39" i="12"/>
  <c r="C39" i="12"/>
  <c r="D39" i="12" s="1"/>
  <c r="I38" i="12"/>
  <c r="AP38" i="12" s="1"/>
  <c r="AP52" i="12" s="1"/>
  <c r="D38" i="12"/>
  <c r="I36" i="12"/>
  <c r="AN36" i="12" s="1"/>
  <c r="AN52" i="12" s="1"/>
  <c r="D36" i="12"/>
  <c r="AM35" i="12"/>
  <c r="AZ35" i="12" s="1"/>
  <c r="I35" i="12"/>
  <c r="D35" i="12"/>
  <c r="I34" i="12"/>
  <c r="U34" i="12" s="1"/>
  <c r="AZ34" i="12" s="1"/>
  <c r="D34" i="12"/>
  <c r="AZ33" i="12"/>
  <c r="I32" i="12"/>
  <c r="AL32" i="12" s="1"/>
  <c r="D32" i="12"/>
  <c r="I30" i="12"/>
  <c r="U30" i="12" s="1"/>
  <c r="AZ30" i="12" s="1"/>
  <c r="D30" i="12"/>
  <c r="AK29" i="12"/>
  <c r="AK52" i="12" s="1"/>
  <c r="AJ29" i="12"/>
  <c r="AJ52" i="12" s="1"/>
  <c r="AI29" i="12"/>
  <c r="AI52" i="12" s="1"/>
  <c r="AH29" i="12"/>
  <c r="AH52" i="12" s="1"/>
  <c r="AG29" i="12"/>
  <c r="AG52" i="12" s="1"/>
  <c r="T29" i="12"/>
  <c r="D29" i="12"/>
  <c r="AF28" i="12"/>
  <c r="I28" i="12"/>
  <c r="D28" i="12"/>
  <c r="I27" i="12"/>
  <c r="U27" i="12" s="1"/>
  <c r="AZ27" i="12" s="1"/>
  <c r="D27" i="12"/>
  <c r="AE26" i="12"/>
  <c r="AD26" i="12"/>
  <c r="D26" i="12"/>
  <c r="AZ25" i="12"/>
  <c r="I25" i="12"/>
  <c r="AC25" i="12" s="1"/>
  <c r="D25" i="12"/>
  <c r="I24" i="12"/>
  <c r="AC24" i="12" s="1"/>
  <c r="AZ24" i="12" s="1"/>
  <c r="D24" i="12"/>
  <c r="I23" i="12"/>
  <c r="AB23" i="12" s="1"/>
  <c r="AB52" i="12" s="1"/>
  <c r="D23" i="12"/>
  <c r="AZ22" i="12"/>
  <c r="D22" i="12"/>
  <c r="I19" i="12"/>
  <c r="AA19" i="12" s="1"/>
  <c r="D19" i="12"/>
  <c r="AY17" i="12"/>
  <c r="AT17" i="12"/>
  <c r="AR17" i="12"/>
  <c r="AQ17" i="12"/>
  <c r="AP17" i="12"/>
  <c r="AN17" i="12"/>
  <c r="AM17" i="12"/>
  <c r="AL17" i="12"/>
  <c r="AK17" i="12"/>
  <c r="AJ17" i="12"/>
  <c r="AI17" i="12"/>
  <c r="AH17" i="12"/>
  <c r="AG17" i="12"/>
  <c r="AF17" i="12"/>
  <c r="AE17" i="12"/>
  <c r="AD17" i="12"/>
  <c r="AC17" i="12"/>
  <c r="AB17" i="12"/>
  <c r="AA17" i="12"/>
  <c r="Y17" i="12"/>
  <c r="X17" i="12"/>
  <c r="C15" i="12"/>
  <c r="D15" i="12" s="1"/>
  <c r="I14" i="12"/>
  <c r="AV14" i="12" s="1"/>
  <c r="D14" i="12"/>
  <c r="I13" i="12"/>
  <c r="Z13" i="12" s="1"/>
  <c r="D13" i="12"/>
  <c r="I12" i="12"/>
  <c r="W12" i="12" s="1"/>
  <c r="AZ12" i="12" s="1"/>
  <c r="D12" i="12"/>
  <c r="I11" i="12"/>
  <c r="W11" i="12" s="1"/>
  <c r="AZ11" i="12" s="1"/>
  <c r="D11" i="12"/>
  <c r="I9" i="12"/>
  <c r="W9" i="12" s="1"/>
  <c r="AZ9" i="12" s="1"/>
  <c r="D9" i="12"/>
  <c r="I8" i="12"/>
  <c r="W8" i="12" s="1"/>
  <c r="AZ8" i="12" s="1"/>
  <c r="D8" i="12"/>
  <c r="W7" i="12"/>
  <c r="I7" i="12"/>
  <c r="D7" i="12"/>
  <c r="I6" i="12"/>
  <c r="V6" i="12" s="1"/>
  <c r="D6" i="12"/>
  <c r="I5" i="12"/>
  <c r="U5" i="12" s="1"/>
  <c r="U17" i="12" s="1"/>
  <c r="D5" i="12"/>
  <c r="F5" i="12" s="1"/>
  <c r="G95" i="11"/>
  <c r="F95" i="11"/>
  <c r="B95" i="11"/>
  <c r="H94" i="11"/>
  <c r="G94" i="11"/>
  <c r="F94" i="11"/>
  <c r="E94" i="11"/>
  <c r="D94" i="11"/>
  <c r="C94" i="11"/>
  <c r="B94" i="11"/>
  <c r="N93" i="11"/>
  <c r="F93" i="11"/>
  <c r="H92" i="11"/>
  <c r="G92" i="11"/>
  <c r="F92" i="11"/>
  <c r="E92" i="11"/>
  <c r="D92" i="11"/>
  <c r="C92" i="11"/>
  <c r="B92" i="11"/>
  <c r="E91" i="11"/>
  <c r="B91" i="11"/>
  <c r="N91" i="11" s="1"/>
  <c r="G90" i="11"/>
  <c r="F90" i="11"/>
  <c r="E90" i="11"/>
  <c r="D90" i="11"/>
  <c r="C90" i="11"/>
  <c r="B90" i="11"/>
  <c r="H89" i="11"/>
  <c r="G89" i="11"/>
  <c r="F89" i="11"/>
  <c r="E89" i="11"/>
  <c r="D89" i="11"/>
  <c r="C89" i="11"/>
  <c r="B89" i="11"/>
  <c r="G88" i="11"/>
  <c r="F88" i="11"/>
  <c r="E88" i="11"/>
  <c r="D88" i="11"/>
  <c r="C88" i="11"/>
  <c r="B88" i="11"/>
  <c r="H87" i="11"/>
  <c r="G87" i="11"/>
  <c r="F87" i="11"/>
  <c r="E87" i="11"/>
  <c r="D87" i="11"/>
  <c r="D96" i="11" s="1"/>
  <c r="C87" i="11"/>
  <c r="B87" i="11"/>
  <c r="N86" i="11"/>
  <c r="G83" i="11"/>
  <c r="F83" i="11"/>
  <c r="E83" i="11"/>
  <c r="D83" i="11"/>
  <c r="C83" i="11"/>
  <c r="B83" i="11"/>
  <c r="G82" i="11"/>
  <c r="F82" i="11"/>
  <c r="E82" i="11"/>
  <c r="D82" i="11"/>
  <c r="C82" i="11"/>
  <c r="B82" i="11"/>
  <c r="G81" i="11"/>
  <c r="F81" i="11"/>
  <c r="E81" i="11"/>
  <c r="D81" i="11"/>
  <c r="C81" i="11"/>
  <c r="B81" i="11"/>
  <c r="C80" i="11"/>
  <c r="N80" i="11" s="1"/>
  <c r="G79" i="11"/>
  <c r="F79" i="11"/>
  <c r="E79" i="11"/>
  <c r="D79" i="11"/>
  <c r="C79" i="11"/>
  <c r="B79" i="11"/>
  <c r="B78" i="11"/>
  <c r="N78" i="11" s="1"/>
  <c r="H77" i="11"/>
  <c r="G77" i="11"/>
  <c r="F77" i="11"/>
  <c r="E77" i="11"/>
  <c r="E84" i="11" s="1"/>
  <c r="D77" i="11"/>
  <c r="D84" i="11" s="1"/>
  <c r="C77" i="11"/>
  <c r="B77" i="11"/>
  <c r="N76" i="11"/>
  <c r="G74" i="11"/>
  <c r="F74" i="11"/>
  <c r="E74" i="11"/>
  <c r="D74" i="11"/>
  <c r="C74" i="11"/>
  <c r="B74" i="11"/>
  <c r="H73" i="11"/>
  <c r="G73" i="11"/>
  <c r="F73" i="11"/>
  <c r="E73" i="11"/>
  <c r="D73" i="11"/>
  <c r="C73" i="11"/>
  <c r="B73" i="11"/>
  <c r="H72" i="11"/>
  <c r="G72" i="11"/>
  <c r="F72" i="11"/>
  <c r="E72" i="11"/>
  <c r="D72" i="11"/>
  <c r="C72" i="11"/>
  <c r="B72" i="11"/>
  <c r="N72" i="11" s="1"/>
  <c r="G71" i="11"/>
  <c r="F71" i="11"/>
  <c r="E71" i="11"/>
  <c r="D71" i="11"/>
  <c r="C71" i="11"/>
  <c r="H70" i="11"/>
  <c r="B70" i="11"/>
  <c r="N70" i="11" s="1"/>
  <c r="E69" i="11"/>
  <c r="C69" i="11"/>
  <c r="B69" i="11"/>
  <c r="N69" i="11" s="1"/>
  <c r="G68" i="11"/>
  <c r="F68" i="11"/>
  <c r="E68" i="11"/>
  <c r="D68" i="11"/>
  <c r="C68" i="11"/>
  <c r="B68" i="11"/>
  <c r="H67" i="11"/>
  <c r="G67" i="11"/>
  <c r="F67" i="11"/>
  <c r="E67" i="11"/>
  <c r="D67" i="11"/>
  <c r="C67" i="11"/>
  <c r="B67" i="11"/>
  <c r="H66" i="11"/>
  <c r="G66" i="11"/>
  <c r="E66" i="11"/>
  <c r="N66" i="11" s="1"/>
  <c r="H65" i="11"/>
  <c r="G65" i="11"/>
  <c r="F65" i="11"/>
  <c r="F64" i="11"/>
  <c r="F75" i="11" s="1"/>
  <c r="E64" i="11"/>
  <c r="D64" i="11"/>
  <c r="C64" i="11"/>
  <c r="B64" i="11"/>
  <c r="N62" i="11"/>
  <c r="C60" i="11"/>
  <c r="H59" i="11"/>
  <c r="G59" i="11"/>
  <c r="F59" i="11"/>
  <c r="E59" i="11"/>
  <c r="D59" i="11"/>
  <c r="C59" i="11"/>
  <c r="B59" i="11"/>
  <c r="B60" i="11" s="1"/>
  <c r="G58" i="11"/>
  <c r="F58" i="11"/>
  <c r="E58" i="11"/>
  <c r="D58" i="11"/>
  <c r="C58" i="11"/>
  <c r="B58" i="11"/>
  <c r="H57" i="11"/>
  <c r="G57" i="11"/>
  <c r="G60" i="11" s="1"/>
  <c r="F57" i="11"/>
  <c r="E57" i="11"/>
  <c r="D57" i="11"/>
  <c r="C57" i="11"/>
  <c r="N57" i="11" s="1"/>
  <c r="N56" i="11"/>
  <c r="M54" i="11"/>
  <c r="L54" i="11"/>
  <c r="K54" i="11"/>
  <c r="J54" i="11"/>
  <c r="I54" i="11"/>
  <c r="H54" i="11"/>
  <c r="G54" i="11"/>
  <c r="G53" i="11"/>
  <c r="E53" i="11"/>
  <c r="B53" i="11"/>
  <c r="G52" i="11"/>
  <c r="F52" i="11"/>
  <c r="F55" i="11" s="1"/>
  <c r="E52" i="11"/>
  <c r="D52" i="11"/>
  <c r="C52" i="11"/>
  <c r="C55" i="11" s="1"/>
  <c r="B52" i="11"/>
  <c r="G51" i="11"/>
  <c r="G55" i="11" s="1"/>
  <c r="E51" i="11"/>
  <c r="D51" i="11"/>
  <c r="D55" i="11" s="1"/>
  <c r="B51" i="11"/>
  <c r="B55" i="11" s="1"/>
  <c r="N50" i="11"/>
  <c r="N49" i="11"/>
  <c r="M47" i="11"/>
  <c r="L47" i="11"/>
  <c r="K47" i="11"/>
  <c r="E46" i="11"/>
  <c r="N46" i="11" s="1"/>
  <c r="G45" i="11"/>
  <c r="G47" i="11" s="1"/>
  <c r="F45" i="11"/>
  <c r="F47" i="11" s="1"/>
  <c r="D45" i="11"/>
  <c r="C45" i="11"/>
  <c r="B45" i="11"/>
  <c r="B44" i="11"/>
  <c r="J43" i="11"/>
  <c r="I43" i="11"/>
  <c r="I47" i="11" s="1"/>
  <c r="H43" i="11"/>
  <c r="H47" i="11" s="1"/>
  <c r="D43" i="11"/>
  <c r="C43" i="11"/>
  <c r="E42" i="11"/>
  <c r="E47" i="11" s="1"/>
  <c r="D42" i="11"/>
  <c r="D47" i="11" s="1"/>
  <c r="C42" i="11"/>
  <c r="B42" i="11"/>
  <c r="N41" i="11"/>
  <c r="G39" i="11"/>
  <c r="F39" i="11"/>
  <c r="E39" i="11"/>
  <c r="D39" i="11"/>
  <c r="C39" i="11"/>
  <c r="B39" i="11"/>
  <c r="H38" i="11"/>
  <c r="G38" i="11"/>
  <c r="F38" i="11"/>
  <c r="E38" i="11"/>
  <c r="D38" i="11"/>
  <c r="C38" i="11"/>
  <c r="B38" i="11"/>
  <c r="G37" i="11"/>
  <c r="G40" i="11" s="1"/>
  <c r="F37" i="11"/>
  <c r="F40" i="11" s="1"/>
  <c r="E37" i="11"/>
  <c r="E40" i="11" s="1"/>
  <c r="D37" i="11"/>
  <c r="C37" i="11"/>
  <c r="C40" i="11" s="1"/>
  <c r="B37" i="11"/>
  <c r="N36" i="11"/>
  <c r="F34" i="11"/>
  <c r="E34" i="11"/>
  <c r="D34" i="11"/>
  <c r="C34" i="11"/>
  <c r="B34" i="11"/>
  <c r="F33" i="11"/>
  <c r="E33" i="11"/>
  <c r="D33" i="11"/>
  <c r="B33" i="11"/>
  <c r="N32" i="11"/>
  <c r="B32" i="11"/>
  <c r="F31" i="11"/>
  <c r="D31" i="11"/>
  <c r="C31" i="11"/>
  <c r="N31" i="11" s="1"/>
  <c r="G30" i="11"/>
  <c r="F30" i="11"/>
  <c r="E30" i="11"/>
  <c r="D30" i="11"/>
  <c r="C30" i="11"/>
  <c r="B30" i="11"/>
  <c r="H29" i="11"/>
  <c r="G29" i="11"/>
  <c r="F29" i="11"/>
  <c r="E29" i="11"/>
  <c r="D29" i="11"/>
  <c r="C29" i="11"/>
  <c r="B29" i="11"/>
  <c r="H28" i="11"/>
  <c r="G28" i="11"/>
  <c r="F28" i="11"/>
  <c r="E28" i="11"/>
  <c r="D28" i="11"/>
  <c r="C28" i="11"/>
  <c r="B28" i="11"/>
  <c r="B35" i="11" s="1"/>
  <c r="N27" i="11"/>
  <c r="F25" i="11"/>
  <c r="E25" i="11"/>
  <c r="G24" i="11"/>
  <c r="F24" i="11"/>
  <c r="E24" i="11"/>
  <c r="D24" i="11"/>
  <c r="B24" i="11"/>
  <c r="C23" i="11"/>
  <c r="C26" i="11" s="1"/>
  <c r="N22" i="11"/>
  <c r="I22" i="11"/>
  <c r="G22" i="11"/>
  <c r="N21" i="11"/>
  <c r="D21" i="11"/>
  <c r="H20" i="11"/>
  <c r="H26" i="11" s="1"/>
  <c r="G20" i="11"/>
  <c r="G26" i="11" s="1"/>
  <c r="F20" i="11"/>
  <c r="F26" i="11" s="1"/>
  <c r="E20" i="11"/>
  <c r="E26" i="11" s="1"/>
  <c r="D20" i="11"/>
  <c r="C20" i="11"/>
  <c r="B20" i="11"/>
  <c r="B26" i="11" s="1"/>
  <c r="N19" i="11"/>
  <c r="N18" i="11"/>
  <c r="M14" i="11"/>
  <c r="L14" i="11"/>
  <c r="K14" i="11"/>
  <c r="J14" i="11"/>
  <c r="I14" i="11"/>
  <c r="H14" i="11"/>
  <c r="G13" i="11"/>
  <c r="G14" i="11" s="1"/>
  <c r="F13" i="11"/>
  <c r="E13" i="11"/>
  <c r="E14" i="11" s="1"/>
  <c r="D13" i="11"/>
  <c r="C13" i="11"/>
  <c r="B13" i="11"/>
  <c r="B14" i="11" s="1"/>
  <c r="F12" i="11"/>
  <c r="D12" i="11"/>
  <c r="C12" i="11"/>
  <c r="C14" i="11" s="1"/>
  <c r="D11" i="11"/>
  <c r="N10" i="11"/>
  <c r="M9" i="11"/>
  <c r="L9" i="11"/>
  <c r="K9" i="11"/>
  <c r="J9" i="11"/>
  <c r="I9" i="11"/>
  <c r="H9" i="11"/>
  <c r="G9" i="11"/>
  <c r="F9" i="11"/>
  <c r="E9" i="11"/>
  <c r="D9" i="11"/>
  <c r="C9" i="11"/>
  <c r="B9" i="11"/>
  <c r="E8" i="11"/>
  <c r="N8" i="11" s="1"/>
  <c r="M7" i="11"/>
  <c r="L7" i="11"/>
  <c r="K7" i="11"/>
  <c r="J7" i="11"/>
  <c r="J15" i="11" s="1"/>
  <c r="J16" i="11" s="1"/>
  <c r="I7" i="11"/>
  <c r="H7" i="11"/>
  <c r="G7" i="11"/>
  <c r="F7" i="11"/>
  <c r="E7" i="11"/>
  <c r="D7" i="11"/>
  <c r="C7" i="11"/>
  <c r="B7" i="11"/>
  <c r="I62" i="9"/>
  <c r="AZ97" i="9"/>
  <c r="I97" i="9"/>
  <c r="D97" i="9"/>
  <c r="AY97" i="2"/>
  <c r="I97" i="2"/>
  <c r="D97" i="2"/>
  <c r="AZ99" i="7"/>
  <c r="D99" i="7"/>
  <c r="I99" i="7"/>
  <c r="L64" i="10"/>
  <c r="K64" i="10"/>
  <c r="J64" i="10"/>
  <c r="I64" i="10"/>
  <c r="C49" i="9"/>
  <c r="D49" i="9" s="1"/>
  <c r="G95" i="10"/>
  <c r="F95" i="10"/>
  <c r="B95" i="10"/>
  <c r="H94" i="10"/>
  <c r="G94" i="10"/>
  <c r="F94" i="10"/>
  <c r="E94" i="10"/>
  <c r="D94" i="10"/>
  <c r="C94" i="10"/>
  <c r="B94" i="10"/>
  <c r="F93" i="10"/>
  <c r="N93" i="10" s="1"/>
  <c r="H92" i="10"/>
  <c r="G92" i="10"/>
  <c r="F92" i="10"/>
  <c r="E92" i="10"/>
  <c r="D92" i="10"/>
  <c r="C92" i="10"/>
  <c r="B92" i="10"/>
  <c r="E91" i="10"/>
  <c r="B91" i="10"/>
  <c r="G90" i="10"/>
  <c r="F90" i="10"/>
  <c r="E90" i="10"/>
  <c r="D90" i="10"/>
  <c r="C90" i="10"/>
  <c r="B90" i="10"/>
  <c r="H89" i="10"/>
  <c r="G89" i="10"/>
  <c r="F89" i="10"/>
  <c r="E89" i="10"/>
  <c r="D89" i="10"/>
  <c r="C89" i="10"/>
  <c r="B89" i="10"/>
  <c r="G88" i="10"/>
  <c r="F88" i="10"/>
  <c r="E88" i="10"/>
  <c r="D88" i="10"/>
  <c r="C88" i="10"/>
  <c r="B88" i="10"/>
  <c r="H87" i="10"/>
  <c r="G87" i="10"/>
  <c r="F87" i="10"/>
  <c r="E87" i="10"/>
  <c r="D87" i="10"/>
  <c r="D96" i="10" s="1"/>
  <c r="C87" i="10"/>
  <c r="B87" i="10"/>
  <c r="N86" i="10"/>
  <c r="G83" i="10"/>
  <c r="F83" i="10"/>
  <c r="E83" i="10"/>
  <c r="D83" i="10"/>
  <c r="C83" i="10"/>
  <c r="B83" i="10"/>
  <c r="G82" i="10"/>
  <c r="F82" i="10"/>
  <c r="E82" i="10"/>
  <c r="D82" i="10"/>
  <c r="C82" i="10"/>
  <c r="B82" i="10"/>
  <c r="G81" i="10"/>
  <c r="F81" i="10"/>
  <c r="E81" i="10"/>
  <c r="D81" i="10"/>
  <c r="C81" i="10"/>
  <c r="B81" i="10"/>
  <c r="C80" i="10"/>
  <c r="N80" i="10" s="1"/>
  <c r="G79" i="10"/>
  <c r="F79" i="10"/>
  <c r="E79" i="10"/>
  <c r="D79" i="10"/>
  <c r="C79" i="10"/>
  <c r="B79" i="10"/>
  <c r="B78" i="10"/>
  <c r="N78" i="10" s="1"/>
  <c r="H77" i="10"/>
  <c r="G77" i="10"/>
  <c r="F77" i="10"/>
  <c r="F84" i="10" s="1"/>
  <c r="E77" i="10"/>
  <c r="D77" i="10"/>
  <c r="C77" i="10"/>
  <c r="B77" i="10"/>
  <c r="B84" i="10" s="1"/>
  <c r="N76" i="10"/>
  <c r="G74" i="10"/>
  <c r="F74" i="10"/>
  <c r="E74" i="10"/>
  <c r="D74" i="10"/>
  <c r="C74" i="10"/>
  <c r="B74" i="10"/>
  <c r="H73" i="10"/>
  <c r="G73" i="10"/>
  <c r="F73" i="10"/>
  <c r="E73" i="10"/>
  <c r="D73" i="10"/>
  <c r="C73" i="10"/>
  <c r="B73" i="10"/>
  <c r="H72" i="10"/>
  <c r="G72" i="10"/>
  <c r="F72" i="10"/>
  <c r="E72" i="10"/>
  <c r="D72" i="10"/>
  <c r="C72" i="10"/>
  <c r="B72" i="10"/>
  <c r="G71" i="10"/>
  <c r="F71" i="10"/>
  <c r="E71" i="10"/>
  <c r="D71" i="10"/>
  <c r="C71" i="10"/>
  <c r="H70" i="10"/>
  <c r="B70" i="10"/>
  <c r="N70" i="10" s="1"/>
  <c r="E69" i="10"/>
  <c r="C69" i="10"/>
  <c r="B69" i="10"/>
  <c r="N69" i="10" s="1"/>
  <c r="G68" i="10"/>
  <c r="F68" i="10"/>
  <c r="E68" i="10"/>
  <c r="D68" i="10"/>
  <c r="C68" i="10"/>
  <c r="B68" i="10"/>
  <c r="H67" i="10"/>
  <c r="G67" i="10"/>
  <c r="F67" i="10"/>
  <c r="E67" i="10"/>
  <c r="D67" i="10"/>
  <c r="C67" i="10"/>
  <c r="B67" i="10"/>
  <c r="H66" i="10"/>
  <c r="G66" i="10"/>
  <c r="E66" i="10"/>
  <c r="H65" i="10"/>
  <c r="G65" i="10"/>
  <c r="F65" i="10"/>
  <c r="F64" i="10"/>
  <c r="F75" i="10" s="1"/>
  <c r="E64" i="10"/>
  <c r="D64" i="10"/>
  <c r="C64" i="10"/>
  <c r="B64" i="10"/>
  <c r="N62" i="10"/>
  <c r="H59" i="10"/>
  <c r="G59" i="10"/>
  <c r="F59" i="10"/>
  <c r="E59" i="10"/>
  <c r="D59" i="10"/>
  <c r="D60" i="10" s="1"/>
  <c r="C59" i="10"/>
  <c r="B59" i="10"/>
  <c r="G58" i="10"/>
  <c r="F58" i="10"/>
  <c r="E58" i="10"/>
  <c r="D58" i="10"/>
  <c r="C58" i="10"/>
  <c r="B58" i="10"/>
  <c r="B60" i="10" s="1"/>
  <c r="H57" i="10"/>
  <c r="G57" i="10"/>
  <c r="G60" i="10" s="1"/>
  <c r="F57" i="10"/>
  <c r="F60" i="10" s="1"/>
  <c r="E57" i="10"/>
  <c r="D57" i="10"/>
  <c r="C57" i="10"/>
  <c r="N56" i="10"/>
  <c r="M54" i="10"/>
  <c r="L54" i="10"/>
  <c r="K54" i="10"/>
  <c r="J54" i="10"/>
  <c r="I54" i="10"/>
  <c r="H54" i="10"/>
  <c r="G54" i="10"/>
  <c r="N54" i="10" s="1"/>
  <c r="G53" i="10"/>
  <c r="E53" i="10"/>
  <c r="B53" i="10"/>
  <c r="G52" i="10"/>
  <c r="G55" i="10" s="1"/>
  <c r="G61" i="10" s="1"/>
  <c r="F52" i="10"/>
  <c r="F55" i="10" s="1"/>
  <c r="F61" i="10" s="1"/>
  <c r="E52" i="10"/>
  <c r="D52" i="10"/>
  <c r="C52" i="10"/>
  <c r="C55" i="10" s="1"/>
  <c r="B52" i="10"/>
  <c r="G51" i="10"/>
  <c r="E51" i="10"/>
  <c r="E55" i="10" s="1"/>
  <c r="D51" i="10"/>
  <c r="D55" i="10" s="1"/>
  <c r="B51" i="10"/>
  <c r="N50" i="10"/>
  <c r="N49" i="10"/>
  <c r="M47" i="10"/>
  <c r="L47" i="10"/>
  <c r="K47" i="10"/>
  <c r="E47" i="10"/>
  <c r="N46" i="10"/>
  <c r="E46" i="10"/>
  <c r="G45" i="10"/>
  <c r="G47" i="10" s="1"/>
  <c r="F45" i="10"/>
  <c r="F47" i="10" s="1"/>
  <c r="D45" i="10"/>
  <c r="C45" i="10"/>
  <c r="B45" i="10"/>
  <c r="B44" i="10"/>
  <c r="J43" i="10"/>
  <c r="I43" i="10"/>
  <c r="I47" i="10" s="1"/>
  <c r="H43" i="10"/>
  <c r="H47" i="10" s="1"/>
  <c r="D43" i="10"/>
  <c r="C43" i="10"/>
  <c r="E42" i="10"/>
  <c r="D42" i="10"/>
  <c r="C42" i="10"/>
  <c r="B42" i="10"/>
  <c r="N41" i="10"/>
  <c r="G39" i="10"/>
  <c r="F39" i="10"/>
  <c r="E39" i="10"/>
  <c r="D39" i="10"/>
  <c r="C39" i="10"/>
  <c r="B39" i="10"/>
  <c r="H38" i="10"/>
  <c r="G38" i="10"/>
  <c r="F38" i="10"/>
  <c r="E38" i="10"/>
  <c r="D38" i="10"/>
  <c r="C38" i="10"/>
  <c r="B38" i="10"/>
  <c r="G37" i="10"/>
  <c r="F37" i="10"/>
  <c r="E37" i="10"/>
  <c r="E40" i="10" s="1"/>
  <c r="D37" i="10"/>
  <c r="D40" i="10" s="1"/>
  <c r="C37" i="10"/>
  <c r="B37" i="10"/>
  <c r="N36" i="10"/>
  <c r="F34" i="10"/>
  <c r="E34" i="10"/>
  <c r="D34" i="10"/>
  <c r="C34" i="10"/>
  <c r="N34" i="10" s="1"/>
  <c r="B34" i="10"/>
  <c r="F33" i="10"/>
  <c r="E33" i="10"/>
  <c r="D33" i="10"/>
  <c r="B33" i="10"/>
  <c r="B32" i="10"/>
  <c r="N32" i="10" s="1"/>
  <c r="F31" i="10"/>
  <c r="D31" i="10"/>
  <c r="C31" i="10"/>
  <c r="G30" i="10"/>
  <c r="G35" i="10" s="1"/>
  <c r="F30" i="10"/>
  <c r="E30" i="10"/>
  <c r="D30" i="10"/>
  <c r="C30" i="10"/>
  <c r="B30" i="10"/>
  <c r="B35" i="10" s="1"/>
  <c r="H29" i="10"/>
  <c r="G29" i="10"/>
  <c r="F29" i="10"/>
  <c r="E29" i="10"/>
  <c r="D29" i="10"/>
  <c r="C29" i="10"/>
  <c r="B29" i="10"/>
  <c r="H28" i="10"/>
  <c r="H35" i="10" s="1"/>
  <c r="G28" i="10"/>
  <c r="F28" i="10"/>
  <c r="E28" i="10"/>
  <c r="D28" i="10"/>
  <c r="C28" i="10"/>
  <c r="B28" i="10"/>
  <c r="N27" i="10"/>
  <c r="G26" i="10"/>
  <c r="F25" i="10"/>
  <c r="E25" i="10"/>
  <c r="N25" i="10" s="1"/>
  <c r="G24" i="10"/>
  <c r="F24" i="10"/>
  <c r="E24" i="10"/>
  <c r="D24" i="10"/>
  <c r="N24" i="10" s="1"/>
  <c r="B24" i="10"/>
  <c r="C23" i="10"/>
  <c r="N23" i="10" s="1"/>
  <c r="I22" i="10"/>
  <c r="G22" i="10"/>
  <c r="N22" i="10" s="1"/>
  <c r="D21" i="10"/>
  <c r="N21" i="10" s="1"/>
  <c r="H20" i="10"/>
  <c r="H26" i="10" s="1"/>
  <c r="G20" i="10"/>
  <c r="F20" i="10"/>
  <c r="E20" i="10"/>
  <c r="D20" i="10"/>
  <c r="C20" i="10"/>
  <c r="C26" i="10" s="1"/>
  <c r="B20" i="10"/>
  <c r="B26" i="10" s="1"/>
  <c r="N19" i="10"/>
  <c r="N18" i="10"/>
  <c r="K16" i="10"/>
  <c r="M14" i="10"/>
  <c r="L14" i="10"/>
  <c r="K14" i="10"/>
  <c r="J14" i="10"/>
  <c r="I14" i="10"/>
  <c r="H14" i="10"/>
  <c r="B14" i="10"/>
  <c r="G13" i="10"/>
  <c r="G14" i="10" s="1"/>
  <c r="F13" i="10"/>
  <c r="E13" i="10"/>
  <c r="E14" i="10" s="1"/>
  <c r="D13" i="10"/>
  <c r="N13" i="10" s="1"/>
  <c r="C13" i="10"/>
  <c r="B13" i="10"/>
  <c r="F12" i="10"/>
  <c r="D12" i="10"/>
  <c r="C12" i="10"/>
  <c r="C14" i="10" s="1"/>
  <c r="D11" i="10"/>
  <c r="N10" i="10"/>
  <c r="M9" i="10"/>
  <c r="M15" i="10" s="1"/>
  <c r="M16" i="10" s="1"/>
  <c r="L9" i="10"/>
  <c r="K9" i="10"/>
  <c r="J9" i="10"/>
  <c r="I9" i="10"/>
  <c r="I15" i="10" s="1"/>
  <c r="I16" i="10" s="1"/>
  <c r="H9" i="10"/>
  <c r="H15" i="10" s="1"/>
  <c r="H16" i="10" s="1"/>
  <c r="G9" i="10"/>
  <c r="F9" i="10"/>
  <c r="E9" i="10"/>
  <c r="D9" i="10"/>
  <c r="C9" i="10"/>
  <c r="B9" i="10"/>
  <c r="E8" i="10"/>
  <c r="M7" i="10"/>
  <c r="L7" i="10"/>
  <c r="K7" i="10"/>
  <c r="K15" i="10" s="1"/>
  <c r="J7" i="10"/>
  <c r="J15" i="10" s="1"/>
  <c r="J16" i="10" s="1"/>
  <c r="I7" i="10"/>
  <c r="H7" i="10"/>
  <c r="G7" i="10"/>
  <c r="F7" i="10"/>
  <c r="E7" i="10"/>
  <c r="D7" i="10"/>
  <c r="C7" i="10"/>
  <c r="B7" i="10"/>
  <c r="N7" i="10" s="1"/>
  <c r="D193" i="9"/>
  <c r="F193" i="9" s="1"/>
  <c r="U193" i="9" s="1"/>
  <c r="V193" i="9" s="1"/>
  <c r="W193" i="9" s="1"/>
  <c r="X193" i="9" s="1"/>
  <c r="D192" i="9"/>
  <c r="F192" i="9" s="1"/>
  <c r="U192" i="9" s="1"/>
  <c r="V192" i="9" s="1"/>
  <c r="W192" i="9" s="1"/>
  <c r="X192" i="9" s="1"/>
  <c r="W187" i="9"/>
  <c r="W189" i="9" s="1"/>
  <c r="W182" i="9"/>
  <c r="W179" i="9"/>
  <c r="W170" i="9"/>
  <c r="W174" i="9" s="1"/>
  <c r="W173" i="9" s="1"/>
  <c r="AY166" i="9"/>
  <c r="AV166" i="9"/>
  <c r="AU166" i="9"/>
  <c r="AT166" i="9"/>
  <c r="AS166" i="9"/>
  <c r="AR166" i="9"/>
  <c r="AQ166" i="9"/>
  <c r="AP166" i="9"/>
  <c r="AO166" i="9"/>
  <c r="AY164" i="9"/>
  <c r="AU164" i="9"/>
  <c r="AT164" i="9"/>
  <c r="AS164" i="9"/>
  <c r="AO164" i="9"/>
  <c r="AL164" i="9"/>
  <c r="I163" i="9"/>
  <c r="AA163" i="9" s="1"/>
  <c r="AZ163" i="9" s="1"/>
  <c r="D163" i="9"/>
  <c r="I162" i="9"/>
  <c r="X162" i="9" s="1"/>
  <c r="AZ162" i="9" s="1"/>
  <c r="D162" i="9"/>
  <c r="I161" i="9"/>
  <c r="Z161" i="9" s="1"/>
  <c r="D161" i="9"/>
  <c r="I160" i="9"/>
  <c r="W160" i="9" s="1"/>
  <c r="AZ160" i="9" s="1"/>
  <c r="D160" i="9"/>
  <c r="I159" i="9"/>
  <c r="W159" i="9" s="1"/>
  <c r="AZ159" i="9" s="1"/>
  <c r="D159" i="9"/>
  <c r="I158" i="9"/>
  <c r="W158" i="9" s="1"/>
  <c r="AZ158" i="9" s="1"/>
  <c r="D158" i="9"/>
  <c r="I157" i="9"/>
  <c r="W157" i="9" s="1"/>
  <c r="AZ157" i="9" s="1"/>
  <c r="D157" i="9"/>
  <c r="I156" i="9"/>
  <c r="V156" i="9" s="1"/>
  <c r="D156" i="9"/>
  <c r="I154" i="9"/>
  <c r="U154" i="9" s="1"/>
  <c r="AZ154" i="9" s="1"/>
  <c r="D154" i="9"/>
  <c r="AZ152" i="9"/>
  <c r="AZ151" i="9"/>
  <c r="I150" i="9"/>
  <c r="AP150" i="9" s="1"/>
  <c r="D150" i="9"/>
  <c r="I149" i="9"/>
  <c r="U149" i="9" s="1"/>
  <c r="AZ149" i="9" s="1"/>
  <c r="D149" i="9"/>
  <c r="I148" i="9"/>
  <c r="AN148" i="9" s="1"/>
  <c r="AZ148" i="9" s="1"/>
  <c r="D148" i="9"/>
  <c r="I147" i="9"/>
  <c r="AM147" i="9" s="1"/>
  <c r="D147" i="9"/>
  <c r="I146" i="9"/>
  <c r="U146" i="9" s="1"/>
  <c r="AZ146" i="9" s="1"/>
  <c r="D146" i="9"/>
  <c r="I144" i="9"/>
  <c r="AF144" i="9" s="1"/>
  <c r="D144" i="9"/>
  <c r="I143" i="9"/>
  <c r="U143" i="9" s="1"/>
  <c r="D143" i="9"/>
  <c r="AE142" i="9"/>
  <c r="AE164" i="9" s="1"/>
  <c r="AD142" i="9"/>
  <c r="D142" i="9"/>
  <c r="I141" i="9"/>
  <c r="AC141" i="9" s="1"/>
  <c r="AZ141" i="9" s="1"/>
  <c r="D141" i="9"/>
  <c r="I140" i="9"/>
  <c r="AC140" i="9" s="1"/>
  <c r="D140" i="9"/>
  <c r="I139" i="9"/>
  <c r="AB139" i="9" s="1"/>
  <c r="AZ139" i="9" s="1"/>
  <c r="D139" i="9"/>
  <c r="AZ138" i="9"/>
  <c r="D138" i="9"/>
  <c r="AY136" i="9"/>
  <c r="AU136" i="9"/>
  <c r="AT136" i="9"/>
  <c r="AS136" i="9"/>
  <c r="AO136" i="9"/>
  <c r="AL136" i="9"/>
  <c r="AV136" i="9"/>
  <c r="I135" i="9"/>
  <c r="AA135" i="9" s="1"/>
  <c r="AZ135" i="9" s="1"/>
  <c r="D135" i="9"/>
  <c r="I134" i="9"/>
  <c r="X134" i="9" s="1"/>
  <c r="D134" i="9"/>
  <c r="I133" i="9"/>
  <c r="Z133" i="9" s="1"/>
  <c r="D133" i="9"/>
  <c r="I132" i="9"/>
  <c r="W132" i="9" s="1"/>
  <c r="AZ132" i="9" s="1"/>
  <c r="D132" i="9"/>
  <c r="I131" i="9"/>
  <c r="W131" i="9" s="1"/>
  <c r="AZ131" i="9" s="1"/>
  <c r="D131" i="9"/>
  <c r="I130" i="9"/>
  <c r="W130" i="9" s="1"/>
  <c r="AZ130" i="9" s="1"/>
  <c r="D130" i="9"/>
  <c r="I129" i="9"/>
  <c r="W129" i="9" s="1"/>
  <c r="AZ129" i="9" s="1"/>
  <c r="D129" i="9"/>
  <c r="I128" i="9"/>
  <c r="V128" i="9" s="1"/>
  <c r="V136" i="9" s="1"/>
  <c r="D128" i="9"/>
  <c r="I126" i="9"/>
  <c r="U126" i="9" s="1"/>
  <c r="AZ126" i="9" s="1"/>
  <c r="D126" i="9"/>
  <c r="I124" i="9"/>
  <c r="AP124" i="9" s="1"/>
  <c r="D124" i="9"/>
  <c r="I123" i="9"/>
  <c r="U123" i="9" s="1"/>
  <c r="AZ123" i="9" s="1"/>
  <c r="D123" i="9"/>
  <c r="I122" i="9"/>
  <c r="AN122" i="9" s="1"/>
  <c r="AN136" i="9" s="1"/>
  <c r="D122" i="9"/>
  <c r="I121" i="9"/>
  <c r="AM121" i="9" s="1"/>
  <c r="AZ121" i="9" s="1"/>
  <c r="D121" i="9"/>
  <c r="I120" i="9"/>
  <c r="U120" i="9" s="1"/>
  <c r="AZ120" i="9" s="1"/>
  <c r="D120" i="9"/>
  <c r="AJ136" i="9"/>
  <c r="I118" i="9"/>
  <c r="AF118" i="9" s="1"/>
  <c r="D118" i="9"/>
  <c r="I117" i="9"/>
  <c r="U117" i="9" s="1"/>
  <c r="D117" i="9"/>
  <c r="AE116" i="9"/>
  <c r="AE136" i="9" s="1"/>
  <c r="AD116" i="9"/>
  <c r="D116" i="9"/>
  <c r="I115" i="9"/>
  <c r="AC115" i="9" s="1"/>
  <c r="AZ115" i="9" s="1"/>
  <c r="D115" i="9"/>
  <c r="I114" i="9"/>
  <c r="AC114" i="9" s="1"/>
  <c r="D114" i="9"/>
  <c r="I113" i="9"/>
  <c r="AB113" i="9" s="1"/>
  <c r="D113" i="9"/>
  <c r="AZ112" i="9"/>
  <c r="D112" i="9"/>
  <c r="AY110" i="9"/>
  <c r="AU110" i="9"/>
  <c r="AT110" i="9"/>
  <c r="AS110" i="9"/>
  <c r="AO110" i="9"/>
  <c r="AL110" i="9"/>
  <c r="I108" i="9"/>
  <c r="X108" i="9" s="1"/>
  <c r="AZ108" i="9" s="1"/>
  <c r="D108" i="9"/>
  <c r="I107" i="9"/>
  <c r="Z107" i="9" s="1"/>
  <c r="Z110" i="9" s="1"/>
  <c r="D107" i="9"/>
  <c r="I106" i="9"/>
  <c r="W106" i="9" s="1"/>
  <c r="AZ106" i="9" s="1"/>
  <c r="D106" i="9"/>
  <c r="I105" i="9"/>
  <c r="W105" i="9" s="1"/>
  <c r="AZ105" i="9" s="1"/>
  <c r="D105" i="9"/>
  <c r="I104" i="9"/>
  <c r="W104" i="9" s="1"/>
  <c r="AZ104" i="9" s="1"/>
  <c r="D104" i="9"/>
  <c r="I103" i="9"/>
  <c r="W103" i="9" s="1"/>
  <c r="AZ103" i="9" s="1"/>
  <c r="D103" i="9"/>
  <c r="AZ102" i="9"/>
  <c r="I101" i="9"/>
  <c r="V101" i="9" s="1"/>
  <c r="AZ101" i="9" s="1"/>
  <c r="D101" i="9"/>
  <c r="I99" i="9"/>
  <c r="U99" i="9" s="1"/>
  <c r="AZ99" i="9" s="1"/>
  <c r="D99" i="9"/>
  <c r="I96" i="9"/>
  <c r="AP96" i="9" s="1"/>
  <c r="AZ96" i="9" s="1"/>
  <c r="D96" i="9"/>
  <c r="I95" i="9"/>
  <c r="U95" i="9" s="1"/>
  <c r="AZ95" i="9" s="1"/>
  <c r="D95" i="9"/>
  <c r="I94" i="9"/>
  <c r="AN94" i="9" s="1"/>
  <c r="AN110" i="9" s="1"/>
  <c r="D94" i="9"/>
  <c r="I93" i="9"/>
  <c r="AM93" i="9" s="1"/>
  <c r="D93" i="9"/>
  <c r="I92" i="9"/>
  <c r="U92" i="9" s="1"/>
  <c r="AZ92" i="9" s="1"/>
  <c r="D92" i="9"/>
  <c r="I90" i="9"/>
  <c r="AF90" i="9" s="1"/>
  <c r="AZ90" i="9" s="1"/>
  <c r="D90" i="9"/>
  <c r="I89" i="9"/>
  <c r="U89" i="9" s="1"/>
  <c r="AZ89" i="9" s="1"/>
  <c r="D89" i="9"/>
  <c r="AE88" i="9"/>
  <c r="AD88" i="9"/>
  <c r="D88" i="9"/>
  <c r="I87" i="9"/>
  <c r="AC87" i="9" s="1"/>
  <c r="AZ87" i="9" s="1"/>
  <c r="D87" i="9"/>
  <c r="I86" i="9"/>
  <c r="AC86" i="9" s="1"/>
  <c r="D86" i="9"/>
  <c r="I85" i="9"/>
  <c r="AB85" i="9" s="1"/>
  <c r="AB110" i="9" s="1"/>
  <c r="D85" i="9"/>
  <c r="AZ84" i="9"/>
  <c r="D84" i="9"/>
  <c r="AY82" i="9"/>
  <c r="AV82" i="9"/>
  <c r="AT82" i="9"/>
  <c r="AS82" i="9"/>
  <c r="AO82" i="9"/>
  <c r="AL82" i="9"/>
  <c r="I80" i="9"/>
  <c r="X80" i="9" s="1"/>
  <c r="AZ80" i="9" s="1"/>
  <c r="D80" i="9"/>
  <c r="I79" i="9"/>
  <c r="Z79" i="9" s="1"/>
  <c r="Z82" i="9" s="1"/>
  <c r="D79" i="9"/>
  <c r="I78" i="9"/>
  <c r="W78" i="9" s="1"/>
  <c r="AZ78" i="9" s="1"/>
  <c r="D78" i="9"/>
  <c r="I77" i="9"/>
  <c r="W77" i="9" s="1"/>
  <c r="AZ77" i="9" s="1"/>
  <c r="D77" i="9"/>
  <c r="X76" i="9"/>
  <c r="D76" i="9"/>
  <c r="I75" i="9"/>
  <c r="W75" i="9" s="1"/>
  <c r="AZ75" i="9" s="1"/>
  <c r="D75" i="9"/>
  <c r="I74" i="9"/>
  <c r="W74" i="9" s="1"/>
  <c r="AZ74" i="9" s="1"/>
  <c r="D74" i="9"/>
  <c r="C73" i="9"/>
  <c r="I72" i="9"/>
  <c r="V72" i="9" s="1"/>
  <c r="AZ72" i="9" s="1"/>
  <c r="D72" i="9"/>
  <c r="I70" i="9"/>
  <c r="U70" i="9" s="1"/>
  <c r="AZ70" i="9" s="1"/>
  <c r="D70" i="9"/>
  <c r="AZ69" i="9"/>
  <c r="I67" i="9"/>
  <c r="AP67" i="9" s="1"/>
  <c r="D67" i="9"/>
  <c r="I66" i="9"/>
  <c r="U66" i="9" s="1"/>
  <c r="AZ66" i="9" s="1"/>
  <c r="D66" i="9"/>
  <c r="I65" i="9"/>
  <c r="AN65" i="9" s="1"/>
  <c r="AZ65" i="9" s="1"/>
  <c r="D65" i="9"/>
  <c r="I64" i="9"/>
  <c r="AM64" i="9" s="1"/>
  <c r="AM82" i="9" s="1"/>
  <c r="D64" i="9"/>
  <c r="AZ63" i="9"/>
  <c r="AZ62" i="9"/>
  <c r="I61" i="9"/>
  <c r="U61" i="9" s="1"/>
  <c r="AZ61" i="9" s="1"/>
  <c r="D61" i="9"/>
  <c r="AK60" i="9"/>
  <c r="AJ60" i="9"/>
  <c r="AI60" i="9"/>
  <c r="AH60" i="9"/>
  <c r="AG60" i="9"/>
  <c r="T60" i="9"/>
  <c r="C60" i="9" s="1"/>
  <c r="I58" i="9"/>
  <c r="AF58" i="9" s="1"/>
  <c r="AF82" i="9" s="1"/>
  <c r="D58" i="9"/>
  <c r="I57" i="9"/>
  <c r="U57" i="9" s="1"/>
  <c r="D57" i="9"/>
  <c r="AE56" i="9"/>
  <c r="AE82" i="9" s="1"/>
  <c r="AD56" i="9"/>
  <c r="D56" i="9"/>
  <c r="I55" i="9"/>
  <c r="AC55" i="9" s="1"/>
  <c r="AZ55" i="9" s="1"/>
  <c r="D55" i="9"/>
  <c r="I54" i="9"/>
  <c r="AC54" i="9" s="1"/>
  <c r="D54" i="9"/>
  <c r="I53" i="9"/>
  <c r="AB53" i="9" s="1"/>
  <c r="D53" i="9"/>
  <c r="AZ52" i="9"/>
  <c r="D52" i="9"/>
  <c r="AY50" i="9"/>
  <c r="AS50" i="9"/>
  <c r="AO50" i="9"/>
  <c r="I48" i="9"/>
  <c r="W48" i="9" s="1"/>
  <c r="AZ48" i="9" s="1"/>
  <c r="D48" i="9"/>
  <c r="I47" i="9"/>
  <c r="W47" i="9" s="1"/>
  <c r="AZ47" i="9" s="1"/>
  <c r="D47" i="9"/>
  <c r="I46" i="9"/>
  <c r="X46" i="9" s="1"/>
  <c r="D46" i="9"/>
  <c r="I45" i="9"/>
  <c r="Z45" i="9" s="1"/>
  <c r="Z50" i="9" s="1"/>
  <c r="D45" i="9"/>
  <c r="I44" i="9"/>
  <c r="W44" i="9" s="1"/>
  <c r="AZ44" i="9" s="1"/>
  <c r="D44" i="9"/>
  <c r="I43" i="9"/>
  <c r="W43" i="9" s="1"/>
  <c r="AZ43" i="9" s="1"/>
  <c r="D43" i="9"/>
  <c r="I42" i="9"/>
  <c r="W42" i="9" s="1"/>
  <c r="D42" i="9"/>
  <c r="I41" i="9"/>
  <c r="V41" i="9" s="1"/>
  <c r="D41" i="9"/>
  <c r="AZ40" i="9"/>
  <c r="D40" i="9"/>
  <c r="I38" i="9"/>
  <c r="U38" i="9" s="1"/>
  <c r="AZ38" i="9" s="1"/>
  <c r="D38" i="9"/>
  <c r="AK37" i="9"/>
  <c r="AJ37" i="9"/>
  <c r="AI37" i="9"/>
  <c r="AH37" i="9"/>
  <c r="AG37" i="9"/>
  <c r="T37" i="9"/>
  <c r="C37" i="9"/>
  <c r="I36" i="9"/>
  <c r="AP36" i="9" s="1"/>
  <c r="AP50" i="9" s="1"/>
  <c r="D36" i="9"/>
  <c r="I34" i="9"/>
  <c r="AN34" i="9" s="1"/>
  <c r="AN50" i="9" s="1"/>
  <c r="D34" i="9"/>
  <c r="I33" i="9"/>
  <c r="AM33" i="9" s="1"/>
  <c r="AZ33" i="9" s="1"/>
  <c r="D33" i="9"/>
  <c r="I32" i="9"/>
  <c r="U32" i="9" s="1"/>
  <c r="AZ32" i="9" s="1"/>
  <c r="D32" i="9"/>
  <c r="AZ31" i="9"/>
  <c r="I30" i="9"/>
  <c r="AL30" i="9" s="1"/>
  <c r="D30" i="9"/>
  <c r="I28" i="9"/>
  <c r="U28" i="9" s="1"/>
  <c r="AZ28" i="9" s="1"/>
  <c r="D28" i="9"/>
  <c r="AK27" i="9"/>
  <c r="AJ27" i="9"/>
  <c r="AI27" i="9"/>
  <c r="AH27" i="9"/>
  <c r="AG27" i="9"/>
  <c r="T27" i="9"/>
  <c r="D27" i="9"/>
  <c r="I26" i="9"/>
  <c r="AF26" i="9" s="1"/>
  <c r="D26" i="9"/>
  <c r="I25" i="9"/>
  <c r="U25" i="9" s="1"/>
  <c r="D25" i="9"/>
  <c r="AE24" i="9"/>
  <c r="AE50" i="9" s="1"/>
  <c r="AD24" i="9"/>
  <c r="D24" i="9"/>
  <c r="I23" i="9"/>
  <c r="AC23" i="9" s="1"/>
  <c r="AZ23" i="9" s="1"/>
  <c r="D23" i="9"/>
  <c r="I22" i="9"/>
  <c r="AC22" i="9" s="1"/>
  <c r="AZ22" i="9" s="1"/>
  <c r="D22" i="9"/>
  <c r="I21" i="9"/>
  <c r="AB21" i="9" s="1"/>
  <c r="D21" i="9"/>
  <c r="AZ20" i="9"/>
  <c r="D20" i="9"/>
  <c r="I19" i="9"/>
  <c r="AA19" i="9" s="1"/>
  <c r="D19" i="9"/>
  <c r="AY17" i="9"/>
  <c r="AT17" i="9"/>
  <c r="AR17" i="9"/>
  <c r="AQ17" i="9"/>
  <c r="AP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Y17" i="9"/>
  <c r="X17" i="9"/>
  <c r="C15" i="9"/>
  <c r="D15" i="9" s="1"/>
  <c r="I14" i="9"/>
  <c r="AV14" i="9" s="1"/>
  <c r="AV17" i="9" s="1"/>
  <c r="D14" i="9"/>
  <c r="I13" i="9"/>
  <c r="Z13" i="9" s="1"/>
  <c r="D13" i="9"/>
  <c r="I12" i="9"/>
  <c r="W12" i="9" s="1"/>
  <c r="AZ12" i="9" s="1"/>
  <c r="D12" i="9"/>
  <c r="I11" i="9"/>
  <c r="W11" i="9" s="1"/>
  <c r="AZ11" i="9" s="1"/>
  <c r="D11" i="9"/>
  <c r="I9" i="9"/>
  <c r="W9" i="9" s="1"/>
  <c r="AZ9" i="9" s="1"/>
  <c r="D9" i="9"/>
  <c r="I8" i="9"/>
  <c r="W8" i="9" s="1"/>
  <c r="AZ8" i="9" s="1"/>
  <c r="D8" i="9"/>
  <c r="I7" i="9"/>
  <c r="W7" i="9" s="1"/>
  <c r="D7" i="9"/>
  <c r="I6" i="9"/>
  <c r="V6" i="9" s="1"/>
  <c r="V17" i="9" s="1"/>
  <c r="D6" i="9"/>
  <c r="I5" i="9"/>
  <c r="U5" i="9" s="1"/>
  <c r="D5" i="9"/>
  <c r="F5" i="9" s="1"/>
  <c r="AZ142" i="7"/>
  <c r="X77" i="7"/>
  <c r="AZ77" i="7" s="1"/>
  <c r="D77" i="7"/>
  <c r="G95" i="8"/>
  <c r="F95" i="8"/>
  <c r="B95" i="8"/>
  <c r="H94" i="8"/>
  <c r="G94" i="8"/>
  <c r="F94" i="8"/>
  <c r="E94" i="8"/>
  <c r="D94" i="8"/>
  <c r="C94" i="8"/>
  <c r="B94" i="8"/>
  <c r="F93" i="8"/>
  <c r="N93" i="8" s="1"/>
  <c r="H92" i="8"/>
  <c r="G92" i="8"/>
  <c r="F92" i="8"/>
  <c r="E92" i="8"/>
  <c r="D92" i="8"/>
  <c r="C92" i="8"/>
  <c r="B92" i="8"/>
  <c r="E91" i="8"/>
  <c r="N91" i="8" s="1"/>
  <c r="B91" i="8"/>
  <c r="G90" i="8"/>
  <c r="F90" i="8"/>
  <c r="E90" i="8"/>
  <c r="D90" i="8"/>
  <c r="C90" i="8"/>
  <c r="B90" i="8"/>
  <c r="H89" i="8"/>
  <c r="G89" i="8"/>
  <c r="F89" i="8"/>
  <c r="E89" i="8"/>
  <c r="D89" i="8"/>
  <c r="C89" i="8"/>
  <c r="B89" i="8"/>
  <c r="G88" i="8"/>
  <c r="F88" i="8"/>
  <c r="E88" i="8"/>
  <c r="D88" i="8"/>
  <c r="C88" i="8"/>
  <c r="B88" i="8"/>
  <c r="H87" i="8"/>
  <c r="G87" i="8"/>
  <c r="F87" i="8"/>
  <c r="E87" i="8"/>
  <c r="E96" i="8" s="1"/>
  <c r="D87" i="8"/>
  <c r="C87" i="8"/>
  <c r="B87" i="8"/>
  <c r="N86" i="8"/>
  <c r="G83" i="8"/>
  <c r="F83" i="8"/>
  <c r="E83" i="8"/>
  <c r="D83" i="8"/>
  <c r="C83" i="8"/>
  <c r="B83" i="8"/>
  <c r="G82" i="8"/>
  <c r="F82" i="8"/>
  <c r="E82" i="8"/>
  <c r="D82" i="8"/>
  <c r="C82" i="8"/>
  <c r="B82" i="8"/>
  <c r="G81" i="8"/>
  <c r="F81" i="8"/>
  <c r="E81" i="8"/>
  <c r="D81" i="8"/>
  <c r="C81" i="8"/>
  <c r="B81" i="8"/>
  <c r="C80" i="8"/>
  <c r="N80" i="8" s="1"/>
  <c r="G79" i="8"/>
  <c r="F79" i="8"/>
  <c r="E79" i="8"/>
  <c r="D79" i="8"/>
  <c r="C79" i="8"/>
  <c r="B79" i="8"/>
  <c r="B78" i="8"/>
  <c r="N78" i="8" s="1"/>
  <c r="H77" i="8"/>
  <c r="G77" i="8"/>
  <c r="F77" i="8"/>
  <c r="F84" i="8" s="1"/>
  <c r="E77" i="8"/>
  <c r="D77" i="8"/>
  <c r="C77" i="8"/>
  <c r="B77" i="8"/>
  <c r="B84" i="8" s="1"/>
  <c r="N76" i="8"/>
  <c r="G74" i="8"/>
  <c r="F74" i="8"/>
  <c r="E74" i="8"/>
  <c r="D74" i="8"/>
  <c r="C74" i="8"/>
  <c r="B74" i="8"/>
  <c r="H73" i="8"/>
  <c r="G73" i="8"/>
  <c r="F73" i="8"/>
  <c r="E73" i="8"/>
  <c r="D73" i="8"/>
  <c r="N73" i="8" s="1"/>
  <c r="C73" i="8"/>
  <c r="B73" i="8"/>
  <c r="H72" i="8"/>
  <c r="G72" i="8"/>
  <c r="F72" i="8"/>
  <c r="E72" i="8"/>
  <c r="D72" i="8"/>
  <c r="C72" i="8"/>
  <c r="B72" i="8"/>
  <c r="G71" i="8"/>
  <c r="F71" i="8"/>
  <c r="E71" i="8"/>
  <c r="D71" i="8"/>
  <c r="C71" i="8"/>
  <c r="H70" i="8"/>
  <c r="B70" i="8"/>
  <c r="N70" i="8" s="1"/>
  <c r="E69" i="8"/>
  <c r="C69" i="8"/>
  <c r="B69" i="8"/>
  <c r="N69" i="8" s="1"/>
  <c r="G68" i="8"/>
  <c r="F68" i="8"/>
  <c r="E68" i="8"/>
  <c r="D68" i="8"/>
  <c r="C68" i="8"/>
  <c r="B68" i="8"/>
  <c r="H67" i="8"/>
  <c r="G67" i="8"/>
  <c r="F67" i="8"/>
  <c r="E67" i="8"/>
  <c r="D67" i="8"/>
  <c r="C67" i="8"/>
  <c r="B67" i="8"/>
  <c r="H66" i="8"/>
  <c r="G66" i="8"/>
  <c r="E66" i="8"/>
  <c r="H65" i="8"/>
  <c r="G65" i="8"/>
  <c r="F65" i="8"/>
  <c r="F64" i="8"/>
  <c r="E64" i="8"/>
  <c r="D64" i="8"/>
  <c r="C64" i="8"/>
  <c r="B64" i="8"/>
  <c r="N62" i="8"/>
  <c r="C60" i="8"/>
  <c r="H59" i="8"/>
  <c r="G59" i="8"/>
  <c r="F59" i="8"/>
  <c r="E59" i="8"/>
  <c r="D59" i="8"/>
  <c r="C59" i="8"/>
  <c r="B59" i="8"/>
  <c r="G58" i="8"/>
  <c r="F58" i="8"/>
  <c r="E58" i="8"/>
  <c r="D58" i="8"/>
  <c r="C58" i="8"/>
  <c r="B58" i="8"/>
  <c r="B60" i="8" s="1"/>
  <c r="H57" i="8"/>
  <c r="G57" i="8"/>
  <c r="G60" i="8" s="1"/>
  <c r="F57" i="8"/>
  <c r="E57" i="8"/>
  <c r="E60" i="8" s="1"/>
  <c r="D57" i="8"/>
  <c r="C57" i="8"/>
  <c r="N56" i="8"/>
  <c r="M54" i="8"/>
  <c r="L54" i="8"/>
  <c r="K54" i="8"/>
  <c r="J54" i="8"/>
  <c r="I54" i="8"/>
  <c r="H54" i="8"/>
  <c r="G54" i="8"/>
  <c r="G53" i="8"/>
  <c r="E53" i="8"/>
  <c r="B53" i="8"/>
  <c r="G52" i="8"/>
  <c r="F52" i="8"/>
  <c r="F55" i="8" s="1"/>
  <c r="E52" i="8"/>
  <c r="D52" i="8"/>
  <c r="C52" i="8"/>
  <c r="C55" i="8" s="1"/>
  <c r="B52" i="8"/>
  <c r="G51" i="8"/>
  <c r="G55" i="8" s="1"/>
  <c r="E51" i="8"/>
  <c r="D51" i="8"/>
  <c r="D55" i="8" s="1"/>
  <c r="B51" i="8"/>
  <c r="N50" i="8"/>
  <c r="N49" i="8"/>
  <c r="M47" i="8"/>
  <c r="L47" i="8"/>
  <c r="K47" i="8"/>
  <c r="E46" i="8"/>
  <c r="N46" i="8" s="1"/>
  <c r="G45" i="8"/>
  <c r="G47" i="8" s="1"/>
  <c r="F45" i="8"/>
  <c r="F47" i="8" s="1"/>
  <c r="D45" i="8"/>
  <c r="C45" i="8"/>
  <c r="B45" i="8"/>
  <c r="N45" i="8" s="1"/>
  <c r="B44" i="8"/>
  <c r="N44" i="8" s="1"/>
  <c r="J43" i="8"/>
  <c r="J47" i="8" s="1"/>
  <c r="I43" i="8"/>
  <c r="I47" i="8" s="1"/>
  <c r="H43" i="8"/>
  <c r="H47" i="8" s="1"/>
  <c r="D43" i="8"/>
  <c r="C43" i="8"/>
  <c r="E42" i="8"/>
  <c r="E47" i="8" s="1"/>
  <c r="D42" i="8"/>
  <c r="C42" i="8"/>
  <c r="B42" i="8"/>
  <c r="N41" i="8"/>
  <c r="G39" i="8"/>
  <c r="F39" i="8"/>
  <c r="E39" i="8"/>
  <c r="E40" i="8" s="1"/>
  <c r="D39" i="8"/>
  <c r="C39" i="8"/>
  <c r="B39" i="8"/>
  <c r="H38" i="8"/>
  <c r="G38" i="8"/>
  <c r="F38" i="8"/>
  <c r="E38" i="8"/>
  <c r="D38" i="8"/>
  <c r="C38" i="8"/>
  <c r="B38" i="8"/>
  <c r="G37" i="8"/>
  <c r="G40" i="8" s="1"/>
  <c r="F37" i="8"/>
  <c r="F40" i="8" s="1"/>
  <c r="E37" i="8"/>
  <c r="D37" i="8"/>
  <c r="D40" i="8" s="1"/>
  <c r="C37" i="8"/>
  <c r="C40" i="8" s="1"/>
  <c r="B37" i="8"/>
  <c r="N36" i="8"/>
  <c r="F34" i="8"/>
  <c r="E34" i="8"/>
  <c r="D34" i="8"/>
  <c r="C34" i="8"/>
  <c r="B34" i="8"/>
  <c r="F33" i="8"/>
  <c r="E33" i="8"/>
  <c r="D33" i="8"/>
  <c r="B33" i="8"/>
  <c r="B32" i="8"/>
  <c r="N32" i="8" s="1"/>
  <c r="F31" i="8"/>
  <c r="D31" i="8"/>
  <c r="C31" i="8"/>
  <c r="G30" i="8"/>
  <c r="F30" i="8"/>
  <c r="F35" i="8" s="1"/>
  <c r="E30" i="8"/>
  <c r="D30" i="8"/>
  <c r="C30" i="8"/>
  <c r="B30" i="8"/>
  <c r="H29" i="8"/>
  <c r="G29" i="8"/>
  <c r="F29" i="8"/>
  <c r="E29" i="8"/>
  <c r="D29" i="8"/>
  <c r="C29" i="8"/>
  <c r="B29" i="8"/>
  <c r="H28" i="8"/>
  <c r="H35" i="8" s="1"/>
  <c r="G28" i="8"/>
  <c r="F28" i="8"/>
  <c r="E28" i="8"/>
  <c r="D28" i="8"/>
  <c r="D35" i="8" s="1"/>
  <c r="C28" i="8"/>
  <c r="B28" i="8"/>
  <c r="N27" i="8"/>
  <c r="F25" i="8"/>
  <c r="E25" i="8"/>
  <c r="N25" i="8" s="1"/>
  <c r="G24" i="8"/>
  <c r="F24" i="8"/>
  <c r="E24" i="8"/>
  <c r="D24" i="8"/>
  <c r="B24" i="8"/>
  <c r="C23" i="8"/>
  <c r="N23" i="8" s="1"/>
  <c r="I22" i="8"/>
  <c r="G22" i="8"/>
  <c r="N22" i="8" s="1"/>
  <c r="D21" i="8"/>
  <c r="N21" i="8" s="1"/>
  <c r="H20" i="8"/>
  <c r="H26" i="8" s="1"/>
  <c r="G20" i="8"/>
  <c r="F20" i="8"/>
  <c r="F26" i="8" s="1"/>
  <c r="F48" i="8" s="1"/>
  <c r="E20" i="8"/>
  <c r="D20" i="8"/>
  <c r="C20" i="8"/>
  <c r="C26" i="8" s="1"/>
  <c r="B20" i="8"/>
  <c r="N19" i="8"/>
  <c r="N18" i="8"/>
  <c r="M14" i="8"/>
  <c r="L14" i="8"/>
  <c r="K14" i="8"/>
  <c r="J14" i="8"/>
  <c r="I14" i="8"/>
  <c r="H14" i="8"/>
  <c r="G13" i="8"/>
  <c r="G14" i="8" s="1"/>
  <c r="F13" i="8"/>
  <c r="E13" i="8"/>
  <c r="E14" i="8" s="1"/>
  <c r="D13" i="8"/>
  <c r="C13" i="8"/>
  <c r="B13" i="8"/>
  <c r="B14" i="8" s="1"/>
  <c r="F12" i="8"/>
  <c r="F14" i="8" s="1"/>
  <c r="D12" i="8"/>
  <c r="C12" i="8"/>
  <c r="C14" i="8" s="1"/>
  <c r="D11" i="8"/>
  <c r="N11" i="8" s="1"/>
  <c r="N10" i="8"/>
  <c r="M9" i="8"/>
  <c r="L9" i="8"/>
  <c r="K9" i="8"/>
  <c r="J9" i="8"/>
  <c r="I9" i="8"/>
  <c r="H9" i="8"/>
  <c r="G9" i="8"/>
  <c r="F9" i="8"/>
  <c r="E9" i="8"/>
  <c r="D9" i="8"/>
  <c r="C9" i="8"/>
  <c r="B9" i="8"/>
  <c r="E8" i="8"/>
  <c r="N8" i="8" s="1"/>
  <c r="M7" i="8"/>
  <c r="L7" i="8"/>
  <c r="K7" i="8"/>
  <c r="J7" i="8"/>
  <c r="I7" i="8"/>
  <c r="H7" i="8"/>
  <c r="G7" i="8"/>
  <c r="F7" i="8"/>
  <c r="E7" i="8"/>
  <c r="D7" i="8"/>
  <c r="C7" i="8"/>
  <c r="B7" i="8"/>
  <c r="I167" i="7"/>
  <c r="AA167" i="7" s="1"/>
  <c r="AZ167" i="7" s="1"/>
  <c r="D167" i="7"/>
  <c r="I138" i="7"/>
  <c r="AA138" i="7" s="1"/>
  <c r="AZ138" i="7" s="1"/>
  <c r="D138" i="7"/>
  <c r="D112" i="7"/>
  <c r="D83" i="7"/>
  <c r="D198" i="7"/>
  <c r="F198" i="7" s="1"/>
  <c r="U198" i="7" s="1"/>
  <c r="V198" i="7" s="1"/>
  <c r="W198" i="7" s="1"/>
  <c r="X198" i="7" s="1"/>
  <c r="D197" i="7"/>
  <c r="F197" i="7" s="1"/>
  <c r="U197" i="7" s="1"/>
  <c r="V197" i="7" s="1"/>
  <c r="W197" i="7" s="1"/>
  <c r="X197" i="7" s="1"/>
  <c r="W192" i="7"/>
  <c r="W194" i="7" s="1"/>
  <c r="W187" i="7"/>
  <c r="W184" i="7"/>
  <c r="W178" i="7"/>
  <c r="W175" i="7"/>
  <c r="W179" i="7" s="1"/>
  <c r="AV171" i="7"/>
  <c r="AU171" i="7"/>
  <c r="AT171" i="7"/>
  <c r="AS171" i="7"/>
  <c r="AR171" i="7"/>
  <c r="AQ171" i="7"/>
  <c r="AP171" i="7"/>
  <c r="AO171" i="7"/>
  <c r="AU169" i="7"/>
  <c r="AT169" i="7"/>
  <c r="AS169" i="7"/>
  <c r="AO169" i="7"/>
  <c r="AL169" i="7"/>
  <c r="I168" i="7"/>
  <c r="AV168" i="7" s="1"/>
  <c r="D168" i="7"/>
  <c r="I166" i="7"/>
  <c r="X166" i="7" s="1"/>
  <c r="AZ166" i="7" s="1"/>
  <c r="D166" i="7"/>
  <c r="I165" i="7"/>
  <c r="Z165" i="7" s="1"/>
  <c r="D165" i="7"/>
  <c r="I164" i="7"/>
  <c r="W164" i="7" s="1"/>
  <c r="AZ164" i="7" s="1"/>
  <c r="D164" i="7"/>
  <c r="W163" i="7"/>
  <c r="AZ163" i="7" s="1"/>
  <c r="I163" i="7"/>
  <c r="D163" i="7"/>
  <c r="W162" i="7"/>
  <c r="AZ162" i="7" s="1"/>
  <c r="I162" i="7"/>
  <c r="D162" i="7"/>
  <c r="I161" i="7"/>
  <c r="W161" i="7" s="1"/>
  <c r="AZ161" i="7" s="1"/>
  <c r="D161" i="7"/>
  <c r="I160" i="7"/>
  <c r="V160" i="7" s="1"/>
  <c r="D160" i="7"/>
  <c r="I158" i="7"/>
  <c r="U158" i="7" s="1"/>
  <c r="AZ158" i="7" s="1"/>
  <c r="D158" i="7"/>
  <c r="AK157" i="7"/>
  <c r="AJ157" i="7"/>
  <c r="AI157" i="7"/>
  <c r="AH157" i="7"/>
  <c r="AG157" i="7"/>
  <c r="T157" i="7"/>
  <c r="AZ156" i="7"/>
  <c r="AZ155" i="7"/>
  <c r="I154" i="7"/>
  <c r="AP154" i="7" s="1"/>
  <c r="D154" i="7"/>
  <c r="I153" i="7"/>
  <c r="U153" i="7" s="1"/>
  <c r="AZ153" i="7" s="1"/>
  <c r="D153" i="7"/>
  <c r="I152" i="7"/>
  <c r="AN152" i="7" s="1"/>
  <c r="AZ152" i="7" s="1"/>
  <c r="D152" i="7"/>
  <c r="I151" i="7"/>
  <c r="AM151" i="7" s="1"/>
  <c r="D151" i="7"/>
  <c r="I150" i="7"/>
  <c r="U150" i="7" s="1"/>
  <c r="AZ150" i="7" s="1"/>
  <c r="D150" i="7"/>
  <c r="AK149" i="7"/>
  <c r="AK169" i="7" s="1"/>
  <c r="AJ149" i="7"/>
  <c r="AJ169" i="7" s="1"/>
  <c r="AI149" i="7"/>
  <c r="AH149" i="7"/>
  <c r="AG149" i="7"/>
  <c r="T149" i="7"/>
  <c r="AF148" i="7"/>
  <c r="AF169" i="7" s="1"/>
  <c r="I148" i="7"/>
  <c r="D148" i="7"/>
  <c r="I147" i="7"/>
  <c r="U147" i="7" s="1"/>
  <c r="AZ147" i="7" s="1"/>
  <c r="D147" i="7"/>
  <c r="AE146" i="7"/>
  <c r="AE169" i="7" s="1"/>
  <c r="AD146" i="7"/>
  <c r="D146" i="7"/>
  <c r="I145" i="7"/>
  <c r="AC145" i="7" s="1"/>
  <c r="AZ145" i="7" s="1"/>
  <c r="D145" i="7"/>
  <c r="I144" i="7"/>
  <c r="AC144" i="7" s="1"/>
  <c r="D144" i="7"/>
  <c r="I143" i="7"/>
  <c r="AB143" i="7" s="1"/>
  <c r="AB169" i="7" s="1"/>
  <c r="D143" i="7"/>
  <c r="D142" i="7"/>
  <c r="AU140" i="7"/>
  <c r="AT140" i="7"/>
  <c r="AS140" i="7"/>
  <c r="AO140" i="7"/>
  <c r="AL140" i="7"/>
  <c r="I139" i="7"/>
  <c r="AV139" i="7" s="1"/>
  <c r="D139" i="7"/>
  <c r="I137" i="7"/>
  <c r="X137" i="7" s="1"/>
  <c r="AZ137" i="7" s="1"/>
  <c r="D137" i="7"/>
  <c r="I136" i="7"/>
  <c r="Z136" i="7" s="1"/>
  <c r="D136" i="7"/>
  <c r="I135" i="7"/>
  <c r="W135" i="7" s="1"/>
  <c r="AZ135" i="7" s="1"/>
  <c r="D135" i="7"/>
  <c r="I134" i="7"/>
  <c r="W134" i="7" s="1"/>
  <c r="AZ134" i="7" s="1"/>
  <c r="D134" i="7"/>
  <c r="I133" i="7"/>
  <c r="W133" i="7" s="1"/>
  <c r="AZ133" i="7" s="1"/>
  <c r="D133" i="7"/>
  <c r="I132" i="7"/>
  <c r="W132" i="7" s="1"/>
  <c r="AZ132" i="7" s="1"/>
  <c r="D132" i="7"/>
  <c r="I131" i="7"/>
  <c r="V131" i="7" s="1"/>
  <c r="D131" i="7"/>
  <c r="I129" i="7"/>
  <c r="U129" i="7" s="1"/>
  <c r="AZ129" i="7" s="1"/>
  <c r="D129" i="7"/>
  <c r="AK128" i="7"/>
  <c r="AJ128" i="7"/>
  <c r="AI128" i="7"/>
  <c r="AH128" i="7"/>
  <c r="AG128" i="7"/>
  <c r="T128" i="7"/>
  <c r="I127" i="7"/>
  <c r="AP127" i="7" s="1"/>
  <c r="D127" i="7"/>
  <c r="I126" i="7"/>
  <c r="U126" i="7" s="1"/>
  <c r="AZ126" i="7" s="1"/>
  <c r="D126" i="7"/>
  <c r="AN125" i="7"/>
  <c r="AN140" i="7" s="1"/>
  <c r="I125" i="7"/>
  <c r="D125" i="7"/>
  <c r="I124" i="7"/>
  <c r="AM124" i="7" s="1"/>
  <c r="AM140" i="7" s="1"/>
  <c r="D124" i="7"/>
  <c r="I123" i="7"/>
  <c r="U123" i="7" s="1"/>
  <c r="AZ123" i="7" s="1"/>
  <c r="D123" i="7"/>
  <c r="AK122" i="7"/>
  <c r="AJ122" i="7"/>
  <c r="AI122" i="7"/>
  <c r="AH122" i="7"/>
  <c r="AH140" i="7" s="1"/>
  <c r="AG122" i="7"/>
  <c r="T122" i="7"/>
  <c r="I121" i="7"/>
  <c r="AF121" i="7" s="1"/>
  <c r="AF140" i="7" s="1"/>
  <c r="D121" i="7"/>
  <c r="I120" i="7"/>
  <c r="U120" i="7" s="1"/>
  <c r="D120" i="7"/>
  <c r="AE119" i="7"/>
  <c r="AE140" i="7" s="1"/>
  <c r="AD119" i="7"/>
  <c r="D119" i="7"/>
  <c r="I118" i="7"/>
  <c r="AC118" i="7" s="1"/>
  <c r="AZ118" i="7" s="1"/>
  <c r="D118" i="7"/>
  <c r="AC117" i="7"/>
  <c r="AZ117" i="7" s="1"/>
  <c r="I117" i="7"/>
  <c r="D117" i="7"/>
  <c r="I116" i="7"/>
  <c r="AB116" i="7" s="1"/>
  <c r="D116" i="7"/>
  <c r="D115" i="7"/>
  <c r="AU113" i="7"/>
  <c r="AT113" i="7"/>
  <c r="AS113" i="7"/>
  <c r="AO113" i="7"/>
  <c r="AL113" i="7"/>
  <c r="I112" i="7"/>
  <c r="AA112" i="7" s="1"/>
  <c r="AZ112" i="7" s="1"/>
  <c r="I111" i="7"/>
  <c r="AV111" i="7" s="1"/>
  <c r="AZ111" i="7" s="1"/>
  <c r="D111" i="7"/>
  <c r="I110" i="7"/>
  <c r="X110" i="7" s="1"/>
  <c r="X113" i="7" s="1"/>
  <c r="D110" i="7"/>
  <c r="I109" i="7"/>
  <c r="Z109" i="7" s="1"/>
  <c r="D109" i="7"/>
  <c r="I108" i="7"/>
  <c r="W108" i="7" s="1"/>
  <c r="AZ108" i="7" s="1"/>
  <c r="D108" i="7"/>
  <c r="W107" i="7"/>
  <c r="AZ107" i="7" s="1"/>
  <c r="I107" i="7"/>
  <c r="D107" i="7"/>
  <c r="I106" i="7"/>
  <c r="W106" i="7" s="1"/>
  <c r="AZ106" i="7" s="1"/>
  <c r="D106" i="7"/>
  <c r="I105" i="7"/>
  <c r="W105" i="7" s="1"/>
  <c r="AZ105" i="7" s="1"/>
  <c r="D105" i="7"/>
  <c r="AZ104" i="7"/>
  <c r="I103" i="7"/>
  <c r="V103" i="7" s="1"/>
  <c r="D103" i="7"/>
  <c r="I101" i="7"/>
  <c r="U101" i="7" s="1"/>
  <c r="AZ101" i="7" s="1"/>
  <c r="D101" i="7"/>
  <c r="AK100" i="7"/>
  <c r="AJ100" i="7"/>
  <c r="AI100" i="7"/>
  <c r="AH100" i="7"/>
  <c r="AG100" i="7"/>
  <c r="T100" i="7"/>
  <c r="I98" i="7"/>
  <c r="AP98" i="7" s="1"/>
  <c r="AP113" i="7" s="1"/>
  <c r="D98" i="7"/>
  <c r="U97" i="7"/>
  <c r="AZ97" i="7" s="1"/>
  <c r="I97" i="7"/>
  <c r="D97" i="7"/>
  <c r="AN96" i="7"/>
  <c r="AN113" i="7" s="1"/>
  <c r="I96" i="7"/>
  <c r="D96" i="7"/>
  <c r="I95" i="7"/>
  <c r="AM95" i="7" s="1"/>
  <c r="AM113" i="7" s="1"/>
  <c r="D95" i="7"/>
  <c r="I94" i="7"/>
  <c r="U94" i="7" s="1"/>
  <c r="AZ94" i="7" s="1"/>
  <c r="D94" i="7"/>
  <c r="AK93" i="7"/>
  <c r="AJ93" i="7"/>
  <c r="AI93" i="7"/>
  <c r="AH93" i="7"/>
  <c r="AG93" i="7"/>
  <c r="T93" i="7"/>
  <c r="I92" i="7"/>
  <c r="AF92" i="7" s="1"/>
  <c r="D92" i="7"/>
  <c r="I91" i="7"/>
  <c r="U91" i="7" s="1"/>
  <c r="AZ91" i="7" s="1"/>
  <c r="D91" i="7"/>
  <c r="AE90" i="7"/>
  <c r="AE113" i="7" s="1"/>
  <c r="AD90" i="7"/>
  <c r="AZ90" i="7" s="1"/>
  <c r="D90" i="7"/>
  <c r="I89" i="7"/>
  <c r="AC89" i="7" s="1"/>
  <c r="AZ89" i="7" s="1"/>
  <c r="D89" i="7"/>
  <c r="AC88" i="7"/>
  <c r="AZ88" i="7" s="1"/>
  <c r="I88" i="7"/>
  <c r="D88" i="7"/>
  <c r="I87" i="7"/>
  <c r="AB87" i="7" s="1"/>
  <c r="AB113" i="7" s="1"/>
  <c r="D87" i="7"/>
  <c r="AZ86" i="7"/>
  <c r="AY113" i="7"/>
  <c r="D86" i="7"/>
  <c r="AT84" i="7"/>
  <c r="AS84" i="7"/>
  <c r="AO84" i="7"/>
  <c r="AL84" i="7"/>
  <c r="I83" i="7"/>
  <c r="AA83" i="7" s="1"/>
  <c r="I82" i="7"/>
  <c r="AV82" i="7" s="1"/>
  <c r="D82" i="7"/>
  <c r="I81" i="7"/>
  <c r="X81" i="7" s="1"/>
  <c r="D81" i="7"/>
  <c r="I80" i="7"/>
  <c r="Z80" i="7" s="1"/>
  <c r="AZ80" i="7" s="1"/>
  <c r="D80" i="7"/>
  <c r="I79" i="7"/>
  <c r="W79" i="7" s="1"/>
  <c r="AZ79" i="7" s="1"/>
  <c r="D79" i="7"/>
  <c r="I78" i="7"/>
  <c r="W78" i="7" s="1"/>
  <c r="AZ78" i="7" s="1"/>
  <c r="D78" i="7"/>
  <c r="I76" i="7"/>
  <c r="W76" i="7" s="1"/>
  <c r="AZ76" i="7" s="1"/>
  <c r="D76" i="7"/>
  <c r="I75" i="7"/>
  <c r="W75" i="7" s="1"/>
  <c r="AZ75" i="7" s="1"/>
  <c r="D75" i="7"/>
  <c r="C74" i="7"/>
  <c r="D74" i="7" s="1"/>
  <c r="I73" i="7"/>
  <c r="V73" i="7" s="1"/>
  <c r="V84" i="7" s="1"/>
  <c r="D73" i="7"/>
  <c r="U71" i="7"/>
  <c r="AZ71" i="7" s="1"/>
  <c r="I71" i="7"/>
  <c r="D71" i="7"/>
  <c r="AZ70" i="7"/>
  <c r="AK69" i="7"/>
  <c r="AJ69" i="7"/>
  <c r="AI69" i="7"/>
  <c r="AH69" i="7"/>
  <c r="AG69" i="7"/>
  <c r="T69" i="7"/>
  <c r="I68" i="7"/>
  <c r="AP68" i="7" s="1"/>
  <c r="AZ68" i="7" s="1"/>
  <c r="D68" i="7"/>
  <c r="I67" i="7"/>
  <c r="U67" i="7" s="1"/>
  <c r="AZ67" i="7" s="1"/>
  <c r="D67" i="7"/>
  <c r="I66" i="7"/>
  <c r="AN66" i="7" s="1"/>
  <c r="D66" i="7"/>
  <c r="I65" i="7"/>
  <c r="AM65" i="7" s="1"/>
  <c r="AM84" i="7" s="1"/>
  <c r="D65" i="7"/>
  <c r="AZ64" i="7"/>
  <c r="AZ63" i="7"/>
  <c r="I62" i="7"/>
  <c r="U62" i="7" s="1"/>
  <c r="AZ62" i="7" s="1"/>
  <c r="D62" i="7"/>
  <c r="AK61" i="7"/>
  <c r="AJ61" i="7"/>
  <c r="AI61" i="7"/>
  <c r="AH61" i="7"/>
  <c r="AH84" i="7" s="1"/>
  <c r="AG61" i="7"/>
  <c r="AG84" i="7" s="1"/>
  <c r="T61" i="7"/>
  <c r="I60" i="7"/>
  <c r="AF60" i="7" s="1"/>
  <c r="AZ60" i="7" s="1"/>
  <c r="D60" i="7"/>
  <c r="I58" i="7"/>
  <c r="U58" i="7" s="1"/>
  <c r="AZ58" i="7" s="1"/>
  <c r="D58" i="7"/>
  <c r="AE57" i="7"/>
  <c r="AE84" i="7" s="1"/>
  <c r="AD57" i="7"/>
  <c r="AZ57" i="7" s="1"/>
  <c r="D57" i="7"/>
  <c r="AC56" i="7"/>
  <c r="AZ56" i="7" s="1"/>
  <c r="I56" i="7"/>
  <c r="D56" i="7"/>
  <c r="AC55" i="7"/>
  <c r="I55" i="7"/>
  <c r="D55" i="7"/>
  <c r="I54" i="7"/>
  <c r="AB54" i="7" s="1"/>
  <c r="D54" i="7"/>
  <c r="AY84" i="7"/>
  <c r="D53" i="7"/>
  <c r="AS51" i="7"/>
  <c r="AO51" i="7"/>
  <c r="I50" i="7"/>
  <c r="AA50" i="7" s="1"/>
  <c r="AZ50" i="7" s="1"/>
  <c r="D50" i="7"/>
  <c r="I49" i="7"/>
  <c r="W49" i="7" s="1"/>
  <c r="AZ49" i="7" s="1"/>
  <c r="D49" i="7"/>
  <c r="I48" i="7"/>
  <c r="W48" i="7" s="1"/>
  <c r="AZ48" i="7" s="1"/>
  <c r="D48" i="7"/>
  <c r="I47" i="7"/>
  <c r="X47" i="7" s="1"/>
  <c r="X51" i="7" s="1"/>
  <c r="D47" i="7"/>
  <c r="I46" i="7"/>
  <c r="Z46" i="7" s="1"/>
  <c r="Z51" i="7" s="1"/>
  <c r="D46" i="7"/>
  <c r="I45" i="7"/>
  <c r="AV45" i="7" s="1"/>
  <c r="AZ45" i="7" s="1"/>
  <c r="D45" i="7"/>
  <c r="I44" i="7"/>
  <c r="W44" i="7" s="1"/>
  <c r="AZ44" i="7" s="1"/>
  <c r="D44" i="7"/>
  <c r="I43" i="7"/>
  <c r="W43" i="7" s="1"/>
  <c r="AZ43" i="7" s="1"/>
  <c r="D43" i="7"/>
  <c r="I42" i="7"/>
  <c r="W42" i="7" s="1"/>
  <c r="AZ42" i="7" s="1"/>
  <c r="D42" i="7"/>
  <c r="I41" i="7"/>
  <c r="V41" i="7" s="1"/>
  <c r="D41" i="7"/>
  <c r="AZ40" i="7"/>
  <c r="D40" i="7"/>
  <c r="I38" i="7"/>
  <c r="U38" i="7" s="1"/>
  <c r="AZ38" i="7" s="1"/>
  <c r="D38" i="7"/>
  <c r="AK37" i="7"/>
  <c r="AJ37" i="7"/>
  <c r="AI37" i="7"/>
  <c r="AI51" i="7" s="1"/>
  <c r="AH37" i="7"/>
  <c r="AG37" i="7"/>
  <c r="T37" i="7"/>
  <c r="D37" i="7"/>
  <c r="C37" i="7"/>
  <c r="C61" i="7" s="1"/>
  <c r="C69" i="7" s="1"/>
  <c r="I36" i="7"/>
  <c r="AP36" i="7" s="1"/>
  <c r="D36" i="7"/>
  <c r="I34" i="7"/>
  <c r="AN34" i="7" s="1"/>
  <c r="AN51" i="7" s="1"/>
  <c r="D34" i="7"/>
  <c r="I33" i="7"/>
  <c r="AM33" i="7" s="1"/>
  <c r="AZ33" i="7" s="1"/>
  <c r="D33" i="7"/>
  <c r="I32" i="7"/>
  <c r="U32" i="7" s="1"/>
  <c r="AZ32" i="7" s="1"/>
  <c r="D32" i="7"/>
  <c r="AZ31" i="7"/>
  <c r="I30" i="7"/>
  <c r="AL30" i="7" s="1"/>
  <c r="D30" i="7"/>
  <c r="I28" i="7"/>
  <c r="U28" i="7" s="1"/>
  <c r="AZ28" i="7" s="1"/>
  <c r="D28" i="7"/>
  <c r="AK27" i="7"/>
  <c r="AK51" i="7" s="1"/>
  <c r="AJ27" i="7"/>
  <c r="AJ51" i="7" s="1"/>
  <c r="AI27" i="7"/>
  <c r="AH27" i="7"/>
  <c r="AH51" i="7" s="1"/>
  <c r="AG27" i="7"/>
  <c r="AG51" i="7" s="1"/>
  <c r="T27" i="7"/>
  <c r="D27" i="7"/>
  <c r="I26" i="7"/>
  <c r="AF26" i="7" s="1"/>
  <c r="D26" i="7"/>
  <c r="I25" i="7"/>
  <c r="U25" i="7" s="1"/>
  <c r="D25" i="7"/>
  <c r="AE24" i="7"/>
  <c r="AE51" i="7" s="1"/>
  <c r="AD24" i="7"/>
  <c r="D24" i="7"/>
  <c r="I23" i="7"/>
  <c r="AC23" i="7" s="1"/>
  <c r="AZ23" i="7" s="1"/>
  <c r="D23" i="7"/>
  <c r="I22" i="7"/>
  <c r="AC22" i="7" s="1"/>
  <c r="D22" i="7"/>
  <c r="I21" i="7"/>
  <c r="AB21" i="7" s="1"/>
  <c r="D21" i="7"/>
  <c r="AY51" i="7"/>
  <c r="D20" i="7"/>
  <c r="AA19" i="7"/>
  <c r="I19" i="7"/>
  <c r="D19" i="7"/>
  <c r="AY17" i="7"/>
  <c r="AT17" i="7"/>
  <c r="AR17" i="7"/>
  <c r="AQ17" i="7"/>
  <c r="AP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Y17" i="7"/>
  <c r="X17" i="7"/>
  <c r="C15" i="7"/>
  <c r="D15" i="7" s="1"/>
  <c r="I14" i="7"/>
  <c r="AV14" i="7" s="1"/>
  <c r="D14" i="7"/>
  <c r="I13" i="7"/>
  <c r="Z13" i="7" s="1"/>
  <c r="D13" i="7"/>
  <c r="I12" i="7"/>
  <c r="W12" i="7" s="1"/>
  <c r="AZ12" i="7" s="1"/>
  <c r="D12" i="7"/>
  <c r="W11" i="7"/>
  <c r="AZ11" i="7" s="1"/>
  <c r="I11" i="7"/>
  <c r="D11" i="7"/>
  <c r="I9" i="7"/>
  <c r="W9" i="7" s="1"/>
  <c r="AZ9" i="7" s="1"/>
  <c r="D9" i="7"/>
  <c r="I8" i="7"/>
  <c r="W8" i="7" s="1"/>
  <c r="AZ8" i="7" s="1"/>
  <c r="D8" i="7"/>
  <c r="I7" i="7"/>
  <c r="W7" i="7" s="1"/>
  <c r="AZ7" i="7" s="1"/>
  <c r="D7" i="7"/>
  <c r="I6" i="7"/>
  <c r="V6" i="7" s="1"/>
  <c r="D6" i="7"/>
  <c r="I5" i="7"/>
  <c r="U5" i="7" s="1"/>
  <c r="D5" i="7"/>
  <c r="F5" i="7" s="1"/>
  <c r="G100" i="14" l="1"/>
  <c r="G101" i="14" s="1"/>
  <c r="S16" i="14"/>
  <c r="D100" i="14"/>
  <c r="B26" i="8"/>
  <c r="N57" i="10"/>
  <c r="B75" i="10"/>
  <c r="F85" i="10"/>
  <c r="C48" i="11"/>
  <c r="D60" i="11"/>
  <c r="B75" i="11"/>
  <c r="G61" i="11"/>
  <c r="E55" i="11"/>
  <c r="AC84" i="7"/>
  <c r="AZ55" i="7"/>
  <c r="AK84" i="7"/>
  <c r="E35" i="8"/>
  <c r="G61" i="8"/>
  <c r="F35" i="11"/>
  <c r="F48" i="11" s="1"/>
  <c r="F61" i="11"/>
  <c r="F60" i="11"/>
  <c r="G15" i="8"/>
  <c r="G16" i="8" s="1"/>
  <c r="N66" i="8"/>
  <c r="C84" i="8"/>
  <c r="G84" i="8"/>
  <c r="H64" i="11"/>
  <c r="L89" i="10"/>
  <c r="L91" i="14"/>
  <c r="D26" i="10"/>
  <c r="E35" i="10"/>
  <c r="C35" i="10"/>
  <c r="C48" i="10" s="1"/>
  <c r="D47" i="10"/>
  <c r="N45" i="10"/>
  <c r="C60" i="10"/>
  <c r="C61" i="10" s="1"/>
  <c r="C75" i="10"/>
  <c r="C85" i="10" s="1"/>
  <c r="D75" i="10"/>
  <c r="C84" i="10"/>
  <c r="G84" i="10"/>
  <c r="E96" i="10"/>
  <c r="N91" i="10"/>
  <c r="I15" i="11"/>
  <c r="I16" i="11" s="1"/>
  <c r="M15" i="11"/>
  <c r="M16" i="11" s="1"/>
  <c r="H15" i="11"/>
  <c r="H16" i="11" s="1"/>
  <c r="L15" i="11"/>
  <c r="L16" i="11" s="1"/>
  <c r="C35" i="11"/>
  <c r="G35" i="11"/>
  <c r="N33" i="11"/>
  <c r="N42" i="11"/>
  <c r="N43" i="11"/>
  <c r="N52" i="11"/>
  <c r="E60" i="11"/>
  <c r="C75" i="11"/>
  <c r="N65" i="11"/>
  <c r="B84" i="11"/>
  <c r="F84" i="11"/>
  <c r="F85" i="11" s="1"/>
  <c r="E96" i="11"/>
  <c r="I64" i="11"/>
  <c r="AZ61" i="12"/>
  <c r="M64" i="11"/>
  <c r="M66" i="14"/>
  <c r="AV167" i="2"/>
  <c r="K64" i="11"/>
  <c r="N64" i="11" s="1"/>
  <c r="K66" i="14"/>
  <c r="N44" i="10"/>
  <c r="C15" i="8"/>
  <c r="C16" i="8" s="1"/>
  <c r="K15" i="8"/>
  <c r="K16" i="8" s="1"/>
  <c r="N54" i="8"/>
  <c r="F60" i="8"/>
  <c r="F61" i="8" s="1"/>
  <c r="AI113" i="7"/>
  <c r="AJ113" i="7"/>
  <c r="AI140" i="7"/>
  <c r="AH169" i="7"/>
  <c r="E15" i="8"/>
  <c r="E16" i="8" s="1"/>
  <c r="I15" i="8"/>
  <c r="I16" i="8" s="1"/>
  <c r="M15" i="8"/>
  <c r="M16" i="8" s="1"/>
  <c r="N13" i="8"/>
  <c r="D26" i="8"/>
  <c r="E26" i="8"/>
  <c r="E48" i="8" s="1"/>
  <c r="E97" i="8" s="1"/>
  <c r="E98" i="8" s="1"/>
  <c r="E99" i="8" s="1"/>
  <c r="N31" i="8"/>
  <c r="N33" i="8"/>
  <c r="C47" i="8"/>
  <c r="D47" i="8"/>
  <c r="N47" i="8" s="1"/>
  <c r="C61" i="8"/>
  <c r="N71" i="8"/>
  <c r="D84" i="8"/>
  <c r="N83" i="8"/>
  <c r="C96" i="8"/>
  <c r="G96" i="8"/>
  <c r="F96" i="8"/>
  <c r="N95" i="8"/>
  <c r="F26" i="10"/>
  <c r="F35" i="10"/>
  <c r="G75" i="10"/>
  <c r="G85" i="10" s="1"/>
  <c r="N71" i="10"/>
  <c r="N73" i="10"/>
  <c r="D84" i="10"/>
  <c r="N95" i="10"/>
  <c r="N7" i="11"/>
  <c r="N13" i="11"/>
  <c r="D26" i="11"/>
  <c r="N24" i="11"/>
  <c r="N25" i="11"/>
  <c r="D35" i="11"/>
  <c r="H35" i="11"/>
  <c r="N34" i="11"/>
  <c r="D40" i="11"/>
  <c r="C47" i="11"/>
  <c r="D61" i="11"/>
  <c r="C61" i="11"/>
  <c r="N54" i="11"/>
  <c r="G75" i="11"/>
  <c r="D75" i="11"/>
  <c r="D85" i="11" s="1"/>
  <c r="C84" i="11"/>
  <c r="G84" i="11"/>
  <c r="J64" i="11"/>
  <c r="J44" i="11"/>
  <c r="N44" i="11" s="1"/>
  <c r="AB84" i="7"/>
  <c r="AZ54" i="7"/>
  <c r="G26" i="8"/>
  <c r="G48" i="8" s="1"/>
  <c r="N24" i="8"/>
  <c r="B47" i="8"/>
  <c r="N52" i="8"/>
  <c r="AJ140" i="7"/>
  <c r="AG169" i="7"/>
  <c r="N7" i="8"/>
  <c r="F15" i="8"/>
  <c r="F16" i="8" s="1"/>
  <c r="J15" i="8"/>
  <c r="J16" i="8" s="1"/>
  <c r="D14" i="8"/>
  <c r="G35" i="8"/>
  <c r="N34" i="8"/>
  <c r="E75" i="8"/>
  <c r="E85" i="8" s="1"/>
  <c r="E84" i="8"/>
  <c r="D96" i="8"/>
  <c r="L15" i="10"/>
  <c r="L16" i="10" s="1"/>
  <c r="N33" i="10"/>
  <c r="C40" i="10"/>
  <c r="G40" i="10"/>
  <c r="G48" i="10" s="1"/>
  <c r="G97" i="10" s="1"/>
  <c r="B40" i="10"/>
  <c r="F40" i="10"/>
  <c r="F48" i="10" s="1"/>
  <c r="F97" i="10" s="1"/>
  <c r="N42" i="10"/>
  <c r="N43" i="10"/>
  <c r="B55" i="10"/>
  <c r="E60" i="10"/>
  <c r="E75" i="10"/>
  <c r="N72" i="10"/>
  <c r="E84" i="10"/>
  <c r="N83" i="10"/>
  <c r="C96" i="10"/>
  <c r="G96" i="10"/>
  <c r="B96" i="10"/>
  <c r="F96" i="10"/>
  <c r="C15" i="11"/>
  <c r="C16" i="11" s="1"/>
  <c r="G15" i="11"/>
  <c r="G16" i="11" s="1"/>
  <c r="K15" i="11"/>
  <c r="K16" i="11" s="1"/>
  <c r="F14" i="11"/>
  <c r="F15" i="11" s="1"/>
  <c r="F16" i="11" s="1"/>
  <c r="E35" i="11"/>
  <c r="E48" i="11" s="1"/>
  <c r="N45" i="11"/>
  <c r="E75" i="11"/>
  <c r="E85" i="11" s="1"/>
  <c r="N71" i="11"/>
  <c r="N73" i="11"/>
  <c r="N83" i="11"/>
  <c r="C96" i="11"/>
  <c r="G96" i="11"/>
  <c r="F96" i="11"/>
  <c r="N95" i="11"/>
  <c r="L64" i="11"/>
  <c r="L66" i="14"/>
  <c r="B100" i="14"/>
  <c r="N16" i="14"/>
  <c r="AZ13" i="12"/>
  <c r="Z17" i="12"/>
  <c r="AF116" i="12"/>
  <c r="AZ96" i="12"/>
  <c r="U144" i="12"/>
  <c r="AZ125" i="12"/>
  <c r="AZ154" i="12"/>
  <c r="AF174" i="12"/>
  <c r="AM144" i="12"/>
  <c r="AZ129" i="12"/>
  <c r="AZ48" i="12"/>
  <c r="AC52" i="12"/>
  <c r="U52" i="12"/>
  <c r="AZ26" i="12"/>
  <c r="AZ36" i="12"/>
  <c r="AZ38" i="12"/>
  <c r="AZ64" i="12"/>
  <c r="AZ114" i="12"/>
  <c r="W17" i="12"/>
  <c r="AZ39" i="12"/>
  <c r="AZ69" i="12"/>
  <c r="F6" i="12"/>
  <c r="F7" i="12" s="1"/>
  <c r="F8" i="12" s="1"/>
  <c r="F9" i="12" s="1"/>
  <c r="AZ60" i="9"/>
  <c r="F6" i="9"/>
  <c r="F7" i="9" s="1"/>
  <c r="F8" i="9" s="1"/>
  <c r="F9" i="9" s="1"/>
  <c r="L89" i="11"/>
  <c r="J47" i="10"/>
  <c r="AW165" i="9"/>
  <c r="AZ18" i="9"/>
  <c r="C83" i="9"/>
  <c r="D83" i="9" s="1"/>
  <c r="C18" i="7"/>
  <c r="AM169" i="7"/>
  <c r="AM170" i="7" s="1"/>
  <c r="AZ151" i="7"/>
  <c r="AF84" i="7"/>
  <c r="V113" i="7"/>
  <c r="AZ103" i="7"/>
  <c r="AZ168" i="7"/>
  <c r="AV169" i="7"/>
  <c r="AC169" i="7"/>
  <c r="U169" i="7"/>
  <c r="AZ98" i="7"/>
  <c r="AZ121" i="7"/>
  <c r="AZ124" i="7"/>
  <c r="AZ125" i="7"/>
  <c r="AZ143" i="7"/>
  <c r="AZ148" i="7"/>
  <c r="AI169" i="7"/>
  <c r="AI84" i="7"/>
  <c r="AI170" i="7" s="1"/>
  <c r="AP84" i="7"/>
  <c r="AZ34" i="7"/>
  <c r="AZ37" i="7"/>
  <c r="AJ84" i="7"/>
  <c r="AJ170" i="7" s="1"/>
  <c r="AZ87" i="7"/>
  <c r="AZ95" i="7"/>
  <c r="AZ96" i="7"/>
  <c r="AK113" i="7"/>
  <c r="W188" i="7"/>
  <c r="C111" i="9"/>
  <c r="AX51" i="9"/>
  <c r="AX18" i="12"/>
  <c r="AX52" i="12" s="1"/>
  <c r="AW175" i="12"/>
  <c r="AU15" i="12"/>
  <c r="AU17" i="12" s="1"/>
  <c r="C53" i="12"/>
  <c r="C87" i="12" s="1"/>
  <c r="AX87" i="12" s="1"/>
  <c r="AX116" i="12" s="1"/>
  <c r="H64" i="10"/>
  <c r="AV17" i="12"/>
  <c r="AV175" i="12" s="1"/>
  <c r="AZ14" i="12"/>
  <c r="V17" i="12"/>
  <c r="AZ6" i="12"/>
  <c r="U86" i="12"/>
  <c r="AZ62" i="12"/>
  <c r="AZ94" i="12"/>
  <c r="AZ130" i="12"/>
  <c r="AN144" i="12"/>
  <c r="AZ7" i="12"/>
  <c r="AZ23" i="12"/>
  <c r="Z52" i="12"/>
  <c r="AZ47" i="12"/>
  <c r="AE52" i="12"/>
  <c r="AM52" i="12"/>
  <c r="AB86" i="12"/>
  <c r="AZ57" i="12"/>
  <c r="AZ71" i="12"/>
  <c r="D77" i="12"/>
  <c r="AU77" i="12"/>
  <c r="AU86" i="12" s="1"/>
  <c r="U116" i="12"/>
  <c r="V86" i="12"/>
  <c r="AZ76" i="12"/>
  <c r="AL52" i="12"/>
  <c r="AL175" i="12" s="1"/>
  <c r="AZ32" i="12"/>
  <c r="AC116" i="12"/>
  <c r="AY175" i="12"/>
  <c r="AC144" i="12"/>
  <c r="AZ158" i="12"/>
  <c r="AN174" i="12"/>
  <c r="X174" i="12"/>
  <c r="AZ172" i="12"/>
  <c r="AJ175" i="12"/>
  <c r="AM116" i="12"/>
  <c r="AZ99" i="12"/>
  <c r="V116" i="12"/>
  <c r="AZ107" i="12"/>
  <c r="AZ5" i="12"/>
  <c r="AZ19" i="12"/>
  <c r="AF52" i="12"/>
  <c r="AZ28" i="12"/>
  <c r="AZ29" i="12"/>
  <c r="V52" i="12"/>
  <c r="AZ43" i="12"/>
  <c r="AC86" i="12"/>
  <c r="AZ63" i="12"/>
  <c r="AZ68" i="12"/>
  <c r="AM86" i="12"/>
  <c r="Z86" i="12"/>
  <c r="AN116" i="12"/>
  <c r="AZ100" i="12"/>
  <c r="AZ113" i="12"/>
  <c r="Z116" i="12"/>
  <c r="AG175" i="12"/>
  <c r="AK175" i="12"/>
  <c r="AB144" i="12"/>
  <c r="AZ142" i="12"/>
  <c r="X144" i="12"/>
  <c r="AF144" i="12"/>
  <c r="AZ115" i="12"/>
  <c r="AP116" i="12"/>
  <c r="AE175" i="12"/>
  <c r="AM174" i="12"/>
  <c r="AZ157" i="12"/>
  <c r="Z144" i="12"/>
  <c r="AZ141" i="12"/>
  <c r="AP174" i="12"/>
  <c r="AZ160" i="12"/>
  <c r="V174" i="12"/>
  <c r="AZ166" i="12"/>
  <c r="AH175" i="12"/>
  <c r="AZ85" i="12"/>
  <c r="X86" i="12"/>
  <c r="AZ136" i="12"/>
  <c r="AZ153" i="12"/>
  <c r="U174" i="12"/>
  <c r="AB174" i="12"/>
  <c r="AI175" i="12"/>
  <c r="AZ152" i="12"/>
  <c r="AC174" i="12"/>
  <c r="W193" i="12"/>
  <c r="AP144" i="12"/>
  <c r="Z174" i="12"/>
  <c r="N9" i="11"/>
  <c r="D48" i="11"/>
  <c r="D97" i="11" s="1"/>
  <c r="D14" i="11"/>
  <c r="D15" i="11" s="1"/>
  <c r="D16" i="11" s="1"/>
  <c r="N11" i="11"/>
  <c r="N14" i="11"/>
  <c r="G48" i="11"/>
  <c r="E15" i="11"/>
  <c r="E16" i="11" s="1"/>
  <c r="B61" i="11"/>
  <c r="B85" i="11"/>
  <c r="B47" i="11"/>
  <c r="B96" i="11"/>
  <c r="N12" i="11"/>
  <c r="N23" i="11"/>
  <c r="B40" i="11"/>
  <c r="B48" i="11"/>
  <c r="B15" i="11"/>
  <c r="I49" i="9"/>
  <c r="AA49" i="9" s="1"/>
  <c r="AZ49" i="9" s="1"/>
  <c r="N66" i="10"/>
  <c r="AH82" i="9"/>
  <c r="AJ110" i="9"/>
  <c r="K91" i="14" s="1"/>
  <c r="AZ94" i="9"/>
  <c r="AJ82" i="9"/>
  <c r="AH110" i="9"/>
  <c r="K89" i="14" s="1"/>
  <c r="AG50" i="9"/>
  <c r="AK50" i="9"/>
  <c r="AJ50" i="9"/>
  <c r="AG110" i="9"/>
  <c r="K94" i="14" s="1"/>
  <c r="AK110" i="9"/>
  <c r="AI164" i="9"/>
  <c r="M90" i="14" s="1"/>
  <c r="D37" i="9"/>
  <c r="AI136" i="9"/>
  <c r="L90" i="14" s="1"/>
  <c r="AZ79" i="9"/>
  <c r="AZ85" i="9"/>
  <c r="AI110" i="9"/>
  <c r="K90" i="14" s="1"/>
  <c r="AH136" i="9"/>
  <c r="L89" i="14" s="1"/>
  <c r="AG164" i="9"/>
  <c r="M94" i="14" s="1"/>
  <c r="AK164" i="9"/>
  <c r="AZ24" i="9"/>
  <c r="AM164" i="9"/>
  <c r="AZ147" i="9"/>
  <c r="AZ67" i="9"/>
  <c r="AP82" i="9"/>
  <c r="AF164" i="9"/>
  <c r="AZ144" i="9"/>
  <c r="AZ53" i="9"/>
  <c r="AB82" i="9"/>
  <c r="AC164" i="9"/>
  <c r="AZ140" i="9"/>
  <c r="AZ128" i="9"/>
  <c r="AM136" i="9"/>
  <c r="AH164" i="9"/>
  <c r="M89" i="14" s="1"/>
  <c r="AI50" i="9"/>
  <c r="AZ37" i="9"/>
  <c r="AC82" i="9"/>
  <c r="AZ58" i="9"/>
  <c r="AZ107" i="9"/>
  <c r="AG136" i="9"/>
  <c r="L94" i="14" s="1"/>
  <c r="AK136" i="9"/>
  <c r="AZ122" i="9"/>
  <c r="AJ164" i="9"/>
  <c r="M91" i="14" s="1"/>
  <c r="U50" i="9"/>
  <c r="X110" i="9"/>
  <c r="E15" i="10"/>
  <c r="E16" i="10" s="1"/>
  <c r="N8" i="10"/>
  <c r="E26" i="10"/>
  <c r="E48" i="10" s="1"/>
  <c r="C47" i="10"/>
  <c r="D61" i="10"/>
  <c r="C15" i="10"/>
  <c r="C16" i="10" s="1"/>
  <c r="G15" i="10"/>
  <c r="G16" i="10" s="1"/>
  <c r="N9" i="10"/>
  <c r="F14" i="10"/>
  <c r="F15" i="10" s="1"/>
  <c r="F16" i="10" s="1"/>
  <c r="N12" i="10"/>
  <c r="D35" i="10"/>
  <c r="D48" i="10" s="1"/>
  <c r="B47" i="10"/>
  <c r="E61" i="10"/>
  <c r="E85" i="10"/>
  <c r="B61" i="10"/>
  <c r="D14" i="10"/>
  <c r="D15" i="10" s="1"/>
  <c r="D16" i="10" s="1"/>
  <c r="N11" i="10"/>
  <c r="N31" i="10"/>
  <c r="B85" i="10"/>
  <c r="N52" i="10"/>
  <c r="B15" i="10"/>
  <c r="N65" i="10"/>
  <c r="AZ13" i="9"/>
  <c r="Z17" i="9"/>
  <c r="W17" i="9"/>
  <c r="AZ7" i="9"/>
  <c r="U17" i="9"/>
  <c r="AZ5" i="9"/>
  <c r="AF50" i="9"/>
  <c r="AZ26" i="9"/>
  <c r="AZ19" i="9"/>
  <c r="AB50" i="9"/>
  <c r="AZ21" i="9"/>
  <c r="AC110" i="9"/>
  <c r="AZ86" i="9"/>
  <c r="AZ6" i="9"/>
  <c r="AZ14" i="9"/>
  <c r="AU15" i="9"/>
  <c r="AU17" i="9" s="1"/>
  <c r="AZ25" i="9"/>
  <c r="AL50" i="9"/>
  <c r="AL165" i="9" s="1"/>
  <c r="AZ30" i="9"/>
  <c r="AZ34" i="9"/>
  <c r="AZ42" i="9"/>
  <c r="AZ54" i="9"/>
  <c r="AZ56" i="9"/>
  <c r="U82" i="9"/>
  <c r="AZ57" i="9"/>
  <c r="D60" i="9"/>
  <c r="AI82" i="9"/>
  <c r="V82" i="9"/>
  <c r="U110" i="9"/>
  <c r="AM110" i="9"/>
  <c r="AZ93" i="9"/>
  <c r="AZ15" i="9"/>
  <c r="AH50" i="9"/>
  <c r="AZ27" i="9"/>
  <c r="V50" i="9"/>
  <c r="AZ41" i="9"/>
  <c r="AC50" i="9"/>
  <c r="D73" i="9"/>
  <c r="AU73" i="9"/>
  <c r="X82" i="9"/>
  <c r="AN82" i="9"/>
  <c r="AF110" i="9"/>
  <c r="AV50" i="9"/>
  <c r="AY165" i="9"/>
  <c r="AZ36" i="9"/>
  <c r="AZ45" i="9"/>
  <c r="X50" i="9"/>
  <c r="AZ46" i="9"/>
  <c r="AM50" i="9"/>
  <c r="AG82" i="9"/>
  <c r="AK82" i="9"/>
  <c r="AZ64" i="9"/>
  <c r="AE110" i="9"/>
  <c r="AE165" i="9" s="1"/>
  <c r="AZ88" i="9"/>
  <c r="AV110" i="9"/>
  <c r="AP110" i="9"/>
  <c r="AB136" i="9"/>
  <c r="AZ113" i="9"/>
  <c r="U136" i="9"/>
  <c r="AZ117" i="9"/>
  <c r="AV164" i="9"/>
  <c r="M64" i="10" s="1"/>
  <c r="AZ118" i="9"/>
  <c r="AF136" i="9"/>
  <c r="AZ134" i="9"/>
  <c r="X136" i="9"/>
  <c r="AZ142" i="9"/>
  <c r="AZ143" i="9"/>
  <c r="U164" i="9"/>
  <c r="V164" i="9"/>
  <c r="AZ156" i="9"/>
  <c r="X164" i="9"/>
  <c r="V110" i="9"/>
  <c r="AZ114" i="9"/>
  <c r="AC136" i="9"/>
  <c r="AP136" i="9"/>
  <c r="AZ124" i="9"/>
  <c r="Z136" i="9"/>
  <c r="AZ133" i="9"/>
  <c r="AZ150" i="9"/>
  <c r="AP164" i="9"/>
  <c r="Z164" i="9"/>
  <c r="AZ161" i="9"/>
  <c r="AB164" i="9"/>
  <c r="AN164" i="9"/>
  <c r="AZ116" i="9"/>
  <c r="W183" i="9"/>
  <c r="F6" i="7"/>
  <c r="F7" i="7" s="1"/>
  <c r="F8" i="7" s="1"/>
  <c r="F9" i="7" s="1"/>
  <c r="N14" i="8"/>
  <c r="E55" i="8"/>
  <c r="E61" i="8" s="1"/>
  <c r="H15" i="8"/>
  <c r="H16" i="8" s="1"/>
  <c r="N42" i="8"/>
  <c r="D60" i="8"/>
  <c r="N57" i="8"/>
  <c r="N72" i="8"/>
  <c r="D75" i="8"/>
  <c r="D85" i="8" s="1"/>
  <c r="B15" i="8"/>
  <c r="D15" i="8"/>
  <c r="D16" i="8" s="1"/>
  <c r="L15" i="8"/>
  <c r="L16" i="8" s="1"/>
  <c r="B35" i="8"/>
  <c r="N43" i="8"/>
  <c r="B75" i="8"/>
  <c r="F75" i="8"/>
  <c r="F85" i="8" s="1"/>
  <c r="F97" i="8" s="1"/>
  <c r="F98" i="8" s="1"/>
  <c r="F99" i="8" s="1"/>
  <c r="G75" i="8"/>
  <c r="G85" i="8" s="1"/>
  <c r="G97" i="8" s="1"/>
  <c r="G98" i="8" s="1"/>
  <c r="G99" i="8" s="1"/>
  <c r="N65" i="8"/>
  <c r="N9" i="8"/>
  <c r="C35" i="8"/>
  <c r="C48" i="8" s="1"/>
  <c r="D61" i="8"/>
  <c r="C75" i="8"/>
  <c r="B96" i="8"/>
  <c r="B55" i="8"/>
  <c r="N12" i="8"/>
  <c r="B40" i="8"/>
  <c r="Z113" i="7"/>
  <c r="AZ109" i="7"/>
  <c r="AV140" i="7"/>
  <c r="AZ139" i="7"/>
  <c r="AV84" i="7"/>
  <c r="AZ82" i="7"/>
  <c r="V140" i="7"/>
  <c r="AZ131" i="7"/>
  <c r="AV113" i="7"/>
  <c r="AZ46" i="7"/>
  <c r="AZ73" i="7"/>
  <c r="AU15" i="7"/>
  <c r="AU17" i="7" s="1"/>
  <c r="AZ83" i="7"/>
  <c r="AF113" i="7"/>
  <c r="AZ92" i="7"/>
  <c r="AC51" i="7"/>
  <c r="AZ22" i="7"/>
  <c r="U17" i="7"/>
  <c r="AZ5" i="7"/>
  <c r="AF51" i="7"/>
  <c r="AF170" i="7" s="1"/>
  <c r="AZ26" i="7"/>
  <c r="AZ13" i="7"/>
  <c r="Z17" i="7"/>
  <c r="V17" i="7"/>
  <c r="AZ6" i="7"/>
  <c r="U51" i="7"/>
  <c r="AZ25" i="7"/>
  <c r="AV17" i="7"/>
  <c r="AZ14" i="7"/>
  <c r="AZ21" i="7"/>
  <c r="AB51" i="7"/>
  <c r="AL51" i="7"/>
  <c r="AL170" i="7" s="1"/>
  <c r="AZ30" i="7"/>
  <c r="AP51" i="7"/>
  <c r="AZ36" i="7"/>
  <c r="AN84" i="7"/>
  <c r="AZ66" i="7"/>
  <c r="W17" i="7"/>
  <c r="AZ19" i="7"/>
  <c r="AZ20" i="7"/>
  <c r="AZ24" i="7"/>
  <c r="AZ47" i="7"/>
  <c r="AV51" i="7"/>
  <c r="AZ65" i="7"/>
  <c r="U113" i="7"/>
  <c r="AZ116" i="7"/>
  <c r="AB140" i="7"/>
  <c r="AZ144" i="7"/>
  <c r="X169" i="7"/>
  <c r="AC140" i="7"/>
  <c r="V169" i="7"/>
  <c r="AZ160" i="7"/>
  <c r="AZ61" i="7"/>
  <c r="D61" i="7"/>
  <c r="V51" i="7"/>
  <c r="AZ41" i="7"/>
  <c r="AM51" i="7"/>
  <c r="U84" i="7"/>
  <c r="AU74" i="7"/>
  <c r="AU84" i="7" s="1"/>
  <c r="AG113" i="7"/>
  <c r="AZ110" i="7"/>
  <c r="X140" i="7"/>
  <c r="AZ27" i="7"/>
  <c r="C93" i="7"/>
  <c r="AZ69" i="7"/>
  <c r="D69" i="7"/>
  <c r="AZ81" i="7"/>
  <c r="X84" i="7"/>
  <c r="J58" i="11" s="1"/>
  <c r="Z84" i="7"/>
  <c r="AH113" i="7"/>
  <c r="AH170" i="7" s="1"/>
  <c r="AC113" i="7"/>
  <c r="AY140" i="7"/>
  <c r="AY170" i="7" s="1"/>
  <c r="AZ115" i="7"/>
  <c r="AP140" i="7"/>
  <c r="AZ127" i="7"/>
  <c r="Z140" i="7"/>
  <c r="AZ136" i="7"/>
  <c r="AE170" i="7"/>
  <c r="AP169" i="7"/>
  <c r="AZ154" i="7"/>
  <c r="AZ165" i="7"/>
  <c r="Z169" i="7"/>
  <c r="AN169" i="7"/>
  <c r="AZ53" i="7"/>
  <c r="AZ119" i="7"/>
  <c r="AZ120" i="7"/>
  <c r="U140" i="7"/>
  <c r="AG140" i="7"/>
  <c r="AG170" i="7" s="1"/>
  <c r="AK140" i="7"/>
  <c r="AZ146" i="7"/>
  <c r="I3" i="6"/>
  <c r="I5" i="6"/>
  <c r="I7" i="6"/>
  <c r="I13" i="6" s="1"/>
  <c r="I15" i="6" s="1"/>
  <c r="I9" i="6"/>
  <c r="I11" i="6"/>
  <c r="H14" i="6"/>
  <c r="H15" i="6"/>
  <c r="I16" i="6"/>
  <c r="H17" i="6"/>
  <c r="I17" i="6" s="1"/>
  <c r="H9" i="1"/>
  <c r="I9" i="1"/>
  <c r="J9" i="1"/>
  <c r="K9" i="1"/>
  <c r="L9" i="1"/>
  <c r="M9" i="1"/>
  <c r="H7" i="1"/>
  <c r="I7" i="1"/>
  <c r="J7" i="1"/>
  <c r="K7" i="1"/>
  <c r="L7" i="1"/>
  <c r="M7" i="1"/>
  <c r="AP17" i="2"/>
  <c r="AP168" i="2"/>
  <c r="T155" i="2"/>
  <c r="T147" i="2"/>
  <c r="T127" i="2"/>
  <c r="T121" i="2"/>
  <c r="T99" i="2"/>
  <c r="T92" i="2"/>
  <c r="T69" i="2"/>
  <c r="T61" i="2"/>
  <c r="T37" i="2"/>
  <c r="T27" i="2"/>
  <c r="C37" i="2"/>
  <c r="C61" i="2" s="1"/>
  <c r="AU168" i="2"/>
  <c r="AW168" i="2"/>
  <c r="AX168" i="2"/>
  <c r="AX166" i="2"/>
  <c r="AX138" i="2"/>
  <c r="AX112" i="2"/>
  <c r="AY31" i="2"/>
  <c r="AY40" i="2"/>
  <c r="C74" i="2"/>
  <c r="AU74" i="2" s="1"/>
  <c r="C15" i="2"/>
  <c r="AU15" i="2" s="1"/>
  <c r="D40" i="2"/>
  <c r="AL166" i="2"/>
  <c r="AS166" i="2"/>
  <c r="AT166" i="2"/>
  <c r="AU166" i="2"/>
  <c r="M53" i="14" s="1"/>
  <c r="AL138" i="2"/>
  <c r="AS138" i="2"/>
  <c r="AT138" i="2"/>
  <c r="AU138" i="2"/>
  <c r="AL112" i="2"/>
  <c r="AS112" i="2"/>
  <c r="AT112" i="2"/>
  <c r="AU112" i="2"/>
  <c r="K51" i="11" s="1"/>
  <c r="AL83" i="2"/>
  <c r="AS83" i="2"/>
  <c r="AT83" i="2"/>
  <c r="AX83" i="2"/>
  <c r="AX51" i="2"/>
  <c r="AS51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Q17" i="2"/>
  <c r="AR17" i="2"/>
  <c r="AT17" i="2"/>
  <c r="AX17" i="2"/>
  <c r="S66" i="14" l="1"/>
  <c r="D101" i="14"/>
  <c r="C97" i="10"/>
  <c r="F97" i="11"/>
  <c r="F98" i="11" s="1"/>
  <c r="F99" i="11" s="1"/>
  <c r="C69" i="2"/>
  <c r="C92" i="2" s="1"/>
  <c r="C99" i="2" s="1"/>
  <c r="C121" i="2" s="1"/>
  <c r="C127" i="2" s="1"/>
  <c r="C147" i="2" s="1"/>
  <c r="C155" i="2" s="1"/>
  <c r="I63" i="11"/>
  <c r="S65" i="14"/>
  <c r="F98" i="10"/>
  <c r="F99" i="10" s="1"/>
  <c r="K63" i="11"/>
  <c r="K65" i="14"/>
  <c r="J47" i="11"/>
  <c r="D48" i="8"/>
  <c r="P66" i="14"/>
  <c r="N66" i="14"/>
  <c r="D97" i="8"/>
  <c r="H18" i="6"/>
  <c r="C109" i="9" s="1"/>
  <c r="C81" i="9"/>
  <c r="D98" i="11"/>
  <c r="D99" i="11" s="1"/>
  <c r="G85" i="11"/>
  <c r="U170" i="7"/>
  <c r="C85" i="8"/>
  <c r="C97" i="8" s="1"/>
  <c r="C98" i="8" s="1"/>
  <c r="C99" i="8" s="1"/>
  <c r="G98" i="10"/>
  <c r="G99" i="10" s="1"/>
  <c r="G97" i="11"/>
  <c r="G98" i="11" s="1"/>
  <c r="G99" i="11" s="1"/>
  <c r="N64" i="10"/>
  <c r="N44" i="14"/>
  <c r="C85" i="11"/>
  <c r="C97" i="11" s="1"/>
  <c r="C98" i="11" s="1"/>
  <c r="C99" i="11" s="1"/>
  <c r="D85" i="10"/>
  <c r="D97" i="10" s="1"/>
  <c r="D98" i="10" s="1"/>
  <c r="D99" i="10" s="1"/>
  <c r="E61" i="11"/>
  <c r="E97" i="11" s="1"/>
  <c r="E98" i="11" s="1"/>
  <c r="E99" i="11" s="1"/>
  <c r="B101" i="14"/>
  <c r="N47" i="11"/>
  <c r="AZ15" i="12"/>
  <c r="Z175" i="12"/>
  <c r="AZ77" i="12"/>
  <c r="AB175" i="12"/>
  <c r="AM175" i="12"/>
  <c r="AF175" i="12"/>
  <c r="AC175" i="12"/>
  <c r="L87" i="10"/>
  <c r="L87" i="11"/>
  <c r="K92" i="10"/>
  <c r="K92" i="11"/>
  <c r="J88" i="11"/>
  <c r="J88" i="10"/>
  <c r="L92" i="10"/>
  <c r="L92" i="11"/>
  <c r="K88" i="10"/>
  <c r="K88" i="11"/>
  <c r="K87" i="10"/>
  <c r="K87" i="11"/>
  <c r="J87" i="10"/>
  <c r="J87" i="11"/>
  <c r="M87" i="10"/>
  <c r="M87" i="11"/>
  <c r="L88" i="11"/>
  <c r="L88" i="10"/>
  <c r="K89" i="10"/>
  <c r="K89" i="11"/>
  <c r="J92" i="11"/>
  <c r="J92" i="10"/>
  <c r="M89" i="11"/>
  <c r="M89" i="10"/>
  <c r="M88" i="11"/>
  <c r="M88" i="10"/>
  <c r="J89" i="11"/>
  <c r="J89" i="10"/>
  <c r="AX83" i="9"/>
  <c r="AX110" i="9" s="1"/>
  <c r="K63" i="10" s="1"/>
  <c r="N47" i="10"/>
  <c r="M92" i="11"/>
  <c r="M92" i="10"/>
  <c r="D18" i="7"/>
  <c r="C52" i="7"/>
  <c r="AX18" i="7"/>
  <c r="I74" i="11"/>
  <c r="I74" i="10"/>
  <c r="L74" i="11"/>
  <c r="L74" i="10"/>
  <c r="H39" i="1"/>
  <c r="H39" i="10"/>
  <c r="H39" i="11"/>
  <c r="H39" i="8"/>
  <c r="M74" i="11"/>
  <c r="M74" i="10"/>
  <c r="J74" i="11"/>
  <c r="J74" i="10"/>
  <c r="L51" i="1"/>
  <c r="L51" i="11"/>
  <c r="L51" i="10"/>
  <c r="L51" i="8"/>
  <c r="M51" i="1"/>
  <c r="M51" i="11"/>
  <c r="M51" i="10"/>
  <c r="M51" i="8"/>
  <c r="K74" i="10"/>
  <c r="K74" i="11"/>
  <c r="AB170" i="7"/>
  <c r="AK170" i="7"/>
  <c r="AN170" i="7"/>
  <c r="AC170" i="7"/>
  <c r="AX82" i="9"/>
  <c r="J63" i="10" s="1"/>
  <c r="AZ51" i="9"/>
  <c r="AX111" i="9"/>
  <c r="AX136" i="9" s="1"/>
  <c r="L63" i="10" s="1"/>
  <c r="C137" i="9"/>
  <c r="D111" i="9"/>
  <c r="D53" i="12"/>
  <c r="AX53" i="12"/>
  <c r="AX86" i="12" s="1"/>
  <c r="V175" i="12"/>
  <c r="D87" i="12"/>
  <c r="C117" i="12"/>
  <c r="AX117" i="12" s="1"/>
  <c r="U175" i="12"/>
  <c r="AP175" i="12"/>
  <c r="X175" i="12"/>
  <c r="AN175" i="12"/>
  <c r="B97" i="11"/>
  <c r="B16" i="11"/>
  <c r="N15" i="11"/>
  <c r="K51" i="1"/>
  <c r="K51" i="8"/>
  <c r="K51" i="10"/>
  <c r="J58" i="10"/>
  <c r="J58" i="8"/>
  <c r="AJ165" i="9"/>
  <c r="AG165" i="9"/>
  <c r="AH165" i="9"/>
  <c r="AM165" i="9"/>
  <c r="AK165" i="9"/>
  <c r="AI165" i="9"/>
  <c r="AN165" i="9"/>
  <c r="AP165" i="9"/>
  <c r="AF165" i="9"/>
  <c r="AC165" i="9"/>
  <c r="AB165" i="9"/>
  <c r="AV165" i="9"/>
  <c r="X165" i="9"/>
  <c r="B16" i="10"/>
  <c r="N15" i="10"/>
  <c r="N14" i="10"/>
  <c r="C98" i="10"/>
  <c r="C99" i="10" s="1"/>
  <c r="E97" i="10"/>
  <c r="E98" i="10" s="1"/>
  <c r="E99" i="10" s="1"/>
  <c r="B48" i="10"/>
  <c r="AU82" i="9"/>
  <c r="AZ73" i="9"/>
  <c r="U165" i="9"/>
  <c r="V165" i="9"/>
  <c r="Z165" i="9"/>
  <c r="M74" i="1"/>
  <c r="M74" i="8"/>
  <c r="L74" i="1"/>
  <c r="L74" i="8"/>
  <c r="K74" i="1"/>
  <c r="K74" i="8"/>
  <c r="J74" i="1"/>
  <c r="J74" i="8"/>
  <c r="I74" i="1"/>
  <c r="I74" i="8"/>
  <c r="B61" i="8"/>
  <c r="N15" i="8"/>
  <c r="B16" i="8"/>
  <c r="B85" i="8"/>
  <c r="B48" i="8"/>
  <c r="D98" i="8"/>
  <c r="D99" i="8" s="1"/>
  <c r="Z170" i="7"/>
  <c r="AZ15" i="7"/>
  <c r="AV170" i="7"/>
  <c r="AP170" i="7"/>
  <c r="AZ74" i="7"/>
  <c r="AZ93" i="7"/>
  <c r="D93" i="7"/>
  <c r="C100" i="7"/>
  <c r="AZ100" i="7" s="1"/>
  <c r="V170" i="7"/>
  <c r="X170" i="7"/>
  <c r="I18" i="6"/>
  <c r="H19" i="6"/>
  <c r="AY74" i="2"/>
  <c r="AU83" i="2"/>
  <c r="J51" i="11" s="1"/>
  <c r="D74" i="2"/>
  <c r="AX167" i="2"/>
  <c r="AY15" i="2"/>
  <c r="AU17" i="2"/>
  <c r="D15" i="2"/>
  <c r="G39" i="5"/>
  <c r="G33" i="5"/>
  <c r="G29" i="5"/>
  <c r="G26" i="5"/>
  <c r="G23" i="5"/>
  <c r="G20" i="5"/>
  <c r="G18" i="5"/>
  <c r="G13" i="5"/>
  <c r="G10" i="5"/>
  <c r="C16" i="2" s="1"/>
  <c r="AS16" i="2" s="1"/>
  <c r="AS17" i="2" s="1"/>
  <c r="AS167" i="2" s="1"/>
  <c r="G7" i="5"/>
  <c r="C10" i="13" s="1"/>
  <c r="AY20" i="2"/>
  <c r="AY53" i="2"/>
  <c r="AY70" i="2"/>
  <c r="AY85" i="2"/>
  <c r="AY103" i="2"/>
  <c r="AY114" i="2"/>
  <c r="AY140" i="2"/>
  <c r="AY153" i="2"/>
  <c r="AY154" i="2"/>
  <c r="AQ168" i="2"/>
  <c r="AR168" i="2"/>
  <c r="AS168" i="2"/>
  <c r="AT168" i="2"/>
  <c r="AO168" i="2"/>
  <c r="AE144" i="2"/>
  <c r="AE166" i="2" s="1"/>
  <c r="M29" i="14" s="1"/>
  <c r="AD144" i="2"/>
  <c r="AE118" i="2"/>
  <c r="AE138" i="2" s="1"/>
  <c r="L29" i="14" s="1"/>
  <c r="AD118" i="2"/>
  <c r="AE89" i="2"/>
  <c r="AE112" i="2" s="1"/>
  <c r="AD89" i="2"/>
  <c r="AG92" i="2"/>
  <c r="AK155" i="2"/>
  <c r="AJ155" i="2"/>
  <c r="AI155" i="2"/>
  <c r="AH155" i="2"/>
  <c r="AG155" i="2"/>
  <c r="AK147" i="2"/>
  <c r="AK166" i="2" s="1"/>
  <c r="M96" i="14" s="1"/>
  <c r="AJ147" i="2"/>
  <c r="AI147" i="2"/>
  <c r="AH147" i="2"/>
  <c r="AG147" i="2"/>
  <c r="AG166" i="2" s="1"/>
  <c r="AK127" i="2"/>
  <c r="AJ127" i="2"/>
  <c r="AI127" i="2"/>
  <c r="AH127" i="2"/>
  <c r="AG127" i="2"/>
  <c r="AK121" i="2"/>
  <c r="AJ121" i="2"/>
  <c r="AI121" i="2"/>
  <c r="AI138" i="2" s="1"/>
  <c r="AH121" i="2"/>
  <c r="AG121" i="2"/>
  <c r="AK99" i="2"/>
  <c r="AJ99" i="2"/>
  <c r="AI99" i="2"/>
  <c r="AH99" i="2"/>
  <c r="AG99" i="2"/>
  <c r="AK92" i="2"/>
  <c r="AK112" i="2" s="1"/>
  <c r="AJ92" i="2"/>
  <c r="AI92" i="2"/>
  <c r="AH92" i="2"/>
  <c r="AK69" i="2"/>
  <c r="AJ69" i="2"/>
  <c r="AI69" i="2"/>
  <c r="AH69" i="2"/>
  <c r="AG69" i="2"/>
  <c r="AK61" i="2"/>
  <c r="AJ61" i="2"/>
  <c r="AI61" i="2"/>
  <c r="AH61" i="2"/>
  <c r="AH83" i="2" s="1"/>
  <c r="AG61" i="2"/>
  <c r="AY61" i="2" s="1"/>
  <c r="AE57" i="2"/>
  <c r="AE83" i="2" s="1"/>
  <c r="J29" i="14" s="1"/>
  <c r="AD57" i="2"/>
  <c r="AK37" i="2"/>
  <c r="AJ37" i="2"/>
  <c r="AI37" i="2"/>
  <c r="AH37" i="2"/>
  <c r="AG37" i="2"/>
  <c r="AK27" i="2"/>
  <c r="AJ27" i="2"/>
  <c r="AI27" i="2"/>
  <c r="AH27" i="2"/>
  <c r="AG27" i="2"/>
  <c r="AE24" i="2"/>
  <c r="AE51" i="2" s="1"/>
  <c r="I29" i="14" s="1"/>
  <c r="S29" i="14" s="1"/>
  <c r="AD24" i="2"/>
  <c r="F14" i="5"/>
  <c r="G42" i="5" s="1"/>
  <c r="F15" i="5"/>
  <c r="C40" i="13" l="1"/>
  <c r="C37" i="12"/>
  <c r="C35" i="9"/>
  <c r="C35" i="7"/>
  <c r="C35" i="2"/>
  <c r="I81" i="9"/>
  <c r="AA81" i="9" s="1"/>
  <c r="AZ81" i="9" s="1"/>
  <c r="D81" i="9"/>
  <c r="K94" i="11"/>
  <c r="K96" i="14"/>
  <c r="D10" i="13"/>
  <c r="F10" i="13" s="1"/>
  <c r="F11" i="13" s="1"/>
  <c r="F12" i="13" s="1"/>
  <c r="F13" i="13" s="1"/>
  <c r="F14" i="13" s="1"/>
  <c r="F15" i="13" s="1"/>
  <c r="AO10" i="13"/>
  <c r="AO17" i="13" s="1"/>
  <c r="AO190" i="13" s="1"/>
  <c r="I109" i="9"/>
  <c r="AA109" i="9" s="1"/>
  <c r="AZ109" i="9" s="1"/>
  <c r="D109" i="9"/>
  <c r="K29" i="11"/>
  <c r="K29" i="14"/>
  <c r="N29" i="14" s="1"/>
  <c r="C16" i="13"/>
  <c r="C16" i="12"/>
  <c r="C16" i="9"/>
  <c r="C16" i="7"/>
  <c r="AY57" i="2"/>
  <c r="C10" i="2"/>
  <c r="D10" i="2" s="1"/>
  <c r="H51" i="11"/>
  <c r="J63" i="11"/>
  <c r="AZ18" i="7"/>
  <c r="AX51" i="7"/>
  <c r="I63" i="8" s="1"/>
  <c r="C85" i="7"/>
  <c r="AX52" i="7"/>
  <c r="D52" i="7"/>
  <c r="N74" i="10"/>
  <c r="N74" i="11"/>
  <c r="K87" i="8"/>
  <c r="J87" i="8"/>
  <c r="M92" i="1"/>
  <c r="M92" i="8"/>
  <c r="M94" i="1"/>
  <c r="M94" i="8"/>
  <c r="M94" i="11"/>
  <c r="M94" i="10"/>
  <c r="M29" i="1"/>
  <c r="M29" i="8"/>
  <c r="M29" i="10"/>
  <c r="M29" i="11"/>
  <c r="I29" i="1"/>
  <c r="I29" i="10"/>
  <c r="I29" i="11"/>
  <c r="I29" i="8"/>
  <c r="J29" i="1"/>
  <c r="J29" i="10"/>
  <c r="J29" i="11"/>
  <c r="J29" i="8"/>
  <c r="L29" i="1"/>
  <c r="L29" i="11"/>
  <c r="L29" i="10"/>
  <c r="L29" i="8"/>
  <c r="D137" i="9"/>
  <c r="AX137" i="9"/>
  <c r="AX164" i="9" s="1"/>
  <c r="AX144" i="12"/>
  <c r="AZ117" i="12"/>
  <c r="D117" i="12"/>
  <c r="C145" i="12"/>
  <c r="C10" i="9"/>
  <c r="C10" i="7"/>
  <c r="C10" i="12"/>
  <c r="N16" i="11"/>
  <c r="B98" i="11"/>
  <c r="K94" i="1"/>
  <c r="K94" i="8"/>
  <c r="K94" i="10"/>
  <c r="K29" i="1"/>
  <c r="K29" i="10"/>
  <c r="K29" i="8"/>
  <c r="H51" i="1"/>
  <c r="H51" i="8"/>
  <c r="H51" i="10"/>
  <c r="J51" i="1"/>
  <c r="J51" i="10"/>
  <c r="J51" i="8"/>
  <c r="B97" i="10"/>
  <c r="N16" i="10"/>
  <c r="N74" i="8"/>
  <c r="B97" i="8"/>
  <c r="B98" i="8" s="1"/>
  <c r="N16" i="8"/>
  <c r="D100" i="7"/>
  <c r="C122" i="7"/>
  <c r="AI51" i="2"/>
  <c r="AI83" i="2"/>
  <c r="AH112" i="2"/>
  <c r="AJ138" i="2"/>
  <c r="K88" i="1"/>
  <c r="K87" i="1"/>
  <c r="J87" i="1"/>
  <c r="AJ51" i="2"/>
  <c r="S91" i="14" s="1"/>
  <c r="AY24" i="2"/>
  <c r="AH51" i="2"/>
  <c r="S89" i="14" s="1"/>
  <c r="AY37" i="2"/>
  <c r="AK83" i="2"/>
  <c r="AH138" i="2"/>
  <c r="AY127" i="2"/>
  <c r="AJ166" i="2"/>
  <c r="AY89" i="2"/>
  <c r="AY144" i="2"/>
  <c r="AG83" i="2"/>
  <c r="AY92" i="2"/>
  <c r="AJ112" i="2"/>
  <c r="AE167" i="2"/>
  <c r="AG51" i="2"/>
  <c r="S94" i="14" s="1"/>
  <c r="AH166" i="2"/>
  <c r="M87" i="8" s="1"/>
  <c r="AK51" i="2"/>
  <c r="S96" i="14" s="1"/>
  <c r="AJ83" i="2"/>
  <c r="AI112" i="2"/>
  <c r="AG138" i="2"/>
  <c r="AK138" i="2"/>
  <c r="L96" i="14" s="1"/>
  <c r="AI166" i="2"/>
  <c r="AG112" i="2"/>
  <c r="AY27" i="2"/>
  <c r="AY69" i="2"/>
  <c r="AY147" i="2"/>
  <c r="AY99" i="2"/>
  <c r="AY155" i="2"/>
  <c r="AY118" i="2"/>
  <c r="AY121" i="2"/>
  <c r="D16" i="2"/>
  <c r="AO10" i="2"/>
  <c r="G16" i="5"/>
  <c r="K16" i="3"/>
  <c r="K19" i="3" s="1"/>
  <c r="K20" i="3" s="1"/>
  <c r="AA44" i="13" s="1"/>
  <c r="J12" i="3"/>
  <c r="J15" i="3"/>
  <c r="I10" i="3"/>
  <c r="I19" i="3" s="1"/>
  <c r="I20" i="3" s="1"/>
  <c r="AR44" i="13" s="1"/>
  <c r="H6" i="3"/>
  <c r="H19" i="3" s="1"/>
  <c r="H20" i="3" s="1"/>
  <c r="W44" i="13" s="1"/>
  <c r="G13" i="3"/>
  <c r="G11" i="3"/>
  <c r="G19" i="3" s="1"/>
  <c r="G20" i="3" s="1"/>
  <c r="AQ44" i="13" s="1"/>
  <c r="F5" i="3"/>
  <c r="F7" i="3"/>
  <c r="F8" i="3"/>
  <c r="F9" i="3"/>
  <c r="F14" i="3"/>
  <c r="F17" i="3"/>
  <c r="F18" i="3"/>
  <c r="F4" i="3"/>
  <c r="D155" i="2"/>
  <c r="C19" i="3"/>
  <c r="C20" i="3" s="1"/>
  <c r="C44" i="13" l="1"/>
  <c r="C83" i="13"/>
  <c r="AR83" i="13"/>
  <c r="AR55" i="13"/>
  <c r="C34" i="13"/>
  <c r="C29" i="9"/>
  <c r="C31" i="12"/>
  <c r="C29" i="7"/>
  <c r="C29" i="2"/>
  <c r="P96" i="14"/>
  <c r="N96" i="14"/>
  <c r="S90" i="14"/>
  <c r="P90" i="14"/>
  <c r="N29" i="10"/>
  <c r="D16" i="7"/>
  <c r="AS16" i="7"/>
  <c r="AS17" i="7" s="1"/>
  <c r="AS170" i="7" s="1"/>
  <c r="BE10" i="13"/>
  <c r="AT35" i="9"/>
  <c r="AT50" i="9" s="1"/>
  <c r="AT165" i="9" s="1"/>
  <c r="AZ35" i="9"/>
  <c r="D35" i="9"/>
  <c r="AQ83" i="13"/>
  <c r="AQ55" i="13"/>
  <c r="P91" i="14"/>
  <c r="N91" i="14"/>
  <c r="L63" i="11"/>
  <c r="L65" i="14"/>
  <c r="AS16" i="9"/>
  <c r="AS17" i="9" s="1"/>
  <c r="AS165" i="9" s="1"/>
  <c r="D16" i="9"/>
  <c r="AT37" i="12"/>
  <c r="AT52" i="12" s="1"/>
  <c r="AT175" i="12" s="1"/>
  <c r="D37" i="12"/>
  <c r="AZ37" i="12"/>
  <c r="D16" i="12"/>
  <c r="AS16" i="12"/>
  <c r="AS17" i="12" s="1"/>
  <c r="AS175" i="12" s="1"/>
  <c r="AT35" i="2"/>
  <c r="AT51" i="2" s="1"/>
  <c r="AT167" i="2" s="1"/>
  <c r="AY35" i="2"/>
  <c r="D35" i="2"/>
  <c r="D40" i="13"/>
  <c r="AT40" i="13"/>
  <c r="AT55" i="13" s="1"/>
  <c r="BE40" i="13"/>
  <c r="P94" i="14"/>
  <c r="N94" i="14"/>
  <c r="W83" i="13"/>
  <c r="W55" i="13"/>
  <c r="AA83" i="13"/>
  <c r="AA55" i="13"/>
  <c r="P89" i="14"/>
  <c r="N89" i="14"/>
  <c r="AS16" i="13"/>
  <c r="AS17" i="13" s="1"/>
  <c r="D16" i="13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C189" i="13"/>
  <c r="D35" i="7"/>
  <c r="AT35" i="7"/>
  <c r="AT51" i="7" s="1"/>
  <c r="AT170" i="7" s="1"/>
  <c r="AZ35" i="7"/>
  <c r="AZ52" i="7"/>
  <c r="AX84" i="7"/>
  <c r="J63" i="8" s="1"/>
  <c r="C114" i="7"/>
  <c r="AX85" i="7"/>
  <c r="D85" i="7"/>
  <c r="L94" i="1"/>
  <c r="L94" i="10"/>
  <c r="L94" i="11"/>
  <c r="L94" i="8"/>
  <c r="I87" i="1"/>
  <c r="I87" i="11"/>
  <c r="N87" i="11" s="1"/>
  <c r="I87" i="8"/>
  <c r="I87" i="10"/>
  <c r="N87" i="10" s="1"/>
  <c r="K88" i="8"/>
  <c r="J88" i="8"/>
  <c r="J92" i="8"/>
  <c r="K92" i="8"/>
  <c r="I89" i="1"/>
  <c r="I89" i="11"/>
  <c r="N89" i="11" s="1"/>
  <c r="I89" i="8"/>
  <c r="I89" i="10"/>
  <c r="N89" i="10" s="1"/>
  <c r="J88" i="1"/>
  <c r="M88" i="1"/>
  <c r="M88" i="8"/>
  <c r="J89" i="8"/>
  <c r="K89" i="8"/>
  <c r="M89" i="1"/>
  <c r="M89" i="8"/>
  <c r="N29" i="8"/>
  <c r="I94" i="1"/>
  <c r="I94" i="8"/>
  <c r="I94" i="10"/>
  <c r="I94" i="11"/>
  <c r="N29" i="11"/>
  <c r="I92" i="1"/>
  <c r="I92" i="11"/>
  <c r="N92" i="11" s="1"/>
  <c r="I92" i="8"/>
  <c r="I92" i="10"/>
  <c r="J94" i="1"/>
  <c r="J94" i="10"/>
  <c r="N94" i="10" s="1"/>
  <c r="J94" i="11"/>
  <c r="J94" i="8"/>
  <c r="I88" i="1"/>
  <c r="H88" i="1" s="1"/>
  <c r="I88" i="8"/>
  <c r="H88" i="8" s="1"/>
  <c r="H96" i="8" s="1"/>
  <c r="I88" i="11"/>
  <c r="H88" i="11" s="1"/>
  <c r="I88" i="10"/>
  <c r="H88" i="10" s="1"/>
  <c r="H96" i="10" s="1"/>
  <c r="M63" i="10"/>
  <c r="N63" i="10" s="1"/>
  <c r="AX165" i="9"/>
  <c r="D145" i="12"/>
  <c r="AX145" i="12"/>
  <c r="D10" i="12"/>
  <c r="F10" i="12" s="1"/>
  <c r="F11" i="12" s="1"/>
  <c r="F12" i="12" s="1"/>
  <c r="F13" i="12" s="1"/>
  <c r="F14" i="12" s="1"/>
  <c r="F15" i="12" s="1"/>
  <c r="F16" i="12" s="1"/>
  <c r="F17" i="12" s="1"/>
  <c r="F18" i="12" s="1"/>
  <c r="F19" i="12" s="1"/>
  <c r="AO10" i="12"/>
  <c r="D10" i="7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AO10" i="7"/>
  <c r="AO10" i="9"/>
  <c r="D10" i="9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19" i="3"/>
  <c r="F20" i="3" s="1"/>
  <c r="Y39" i="7" s="1"/>
  <c r="J19" i="3"/>
  <c r="J20" i="3" s="1"/>
  <c r="AD44" i="13" s="1"/>
  <c r="AD39" i="7"/>
  <c r="AD41" i="12"/>
  <c r="AD39" i="9"/>
  <c r="AD39" i="2"/>
  <c r="AA39" i="9"/>
  <c r="AA41" i="12"/>
  <c r="AA39" i="7"/>
  <c r="AA39" i="2"/>
  <c r="AA72" i="2" s="1"/>
  <c r="AQ41" i="12"/>
  <c r="AQ39" i="9"/>
  <c r="AQ39" i="7"/>
  <c r="AQ39" i="2"/>
  <c r="C135" i="12"/>
  <c r="D135" i="12" s="1"/>
  <c r="C127" i="9"/>
  <c r="D127" i="9" s="1"/>
  <c r="C159" i="7"/>
  <c r="D159" i="7" s="1"/>
  <c r="C102" i="7"/>
  <c r="D102" i="7" s="1"/>
  <c r="C72" i="7"/>
  <c r="D72" i="7" s="1"/>
  <c r="C39" i="7"/>
  <c r="D39" i="7" s="1"/>
  <c r="C106" i="12"/>
  <c r="D106" i="12" s="1"/>
  <c r="C75" i="12"/>
  <c r="D75" i="12" s="1"/>
  <c r="C71" i="9"/>
  <c r="D71" i="9" s="1"/>
  <c r="C39" i="9"/>
  <c r="D39" i="9" s="1"/>
  <c r="C130" i="7"/>
  <c r="D130" i="7" s="1"/>
  <c r="C165" i="12"/>
  <c r="D165" i="12" s="1"/>
  <c r="C41" i="12"/>
  <c r="C100" i="9"/>
  <c r="D100" i="9" s="1"/>
  <c r="C155" i="9"/>
  <c r="D155" i="9" s="1"/>
  <c r="C72" i="2"/>
  <c r="D72" i="2" s="1"/>
  <c r="C157" i="2"/>
  <c r="D157" i="2" s="1"/>
  <c r="C39" i="2"/>
  <c r="C129" i="2"/>
  <c r="D129" i="2" s="1"/>
  <c r="C101" i="2"/>
  <c r="D101" i="2" s="1"/>
  <c r="AR39" i="7"/>
  <c r="AR39" i="9"/>
  <c r="AR41" i="12"/>
  <c r="AR39" i="2"/>
  <c r="W41" i="12"/>
  <c r="W39" i="7"/>
  <c r="W39" i="9"/>
  <c r="W39" i="2"/>
  <c r="B99" i="11"/>
  <c r="L88" i="1"/>
  <c r="L88" i="8"/>
  <c r="L87" i="1"/>
  <c r="L87" i="8"/>
  <c r="N87" i="8" s="1"/>
  <c r="L92" i="1"/>
  <c r="L92" i="8"/>
  <c r="N92" i="10"/>
  <c r="L89" i="1"/>
  <c r="L89" i="8"/>
  <c r="B98" i="10"/>
  <c r="B99" i="8"/>
  <c r="AZ122" i="7"/>
  <c r="D122" i="7"/>
  <c r="C128" i="7"/>
  <c r="AH167" i="2"/>
  <c r="M87" i="1"/>
  <c r="K92" i="1"/>
  <c r="J92" i="1"/>
  <c r="K89" i="1"/>
  <c r="J89" i="1"/>
  <c r="AK167" i="2"/>
  <c r="AG167" i="2"/>
  <c r="AI167" i="2"/>
  <c r="AO17" i="2"/>
  <c r="AY10" i="2"/>
  <c r="AJ167" i="2"/>
  <c r="AA101" i="2"/>
  <c r="I36" i="2"/>
  <c r="AP36" i="2" s="1"/>
  <c r="I34" i="2"/>
  <c r="AN34" i="2" s="1"/>
  <c r="AY34" i="2" s="1"/>
  <c r="I33" i="2"/>
  <c r="AM33" i="2" s="1"/>
  <c r="AY33" i="2" s="1"/>
  <c r="I32" i="2"/>
  <c r="U32" i="2" s="1"/>
  <c r="AY32" i="2" s="1"/>
  <c r="I5" i="2"/>
  <c r="U5" i="2" s="1"/>
  <c r="I9" i="2"/>
  <c r="W9" i="2" s="1"/>
  <c r="AY9" i="2" s="1"/>
  <c r="I8" i="2"/>
  <c r="W8" i="2" s="1"/>
  <c r="AY8" i="2" s="1"/>
  <c r="I7" i="2"/>
  <c r="W7" i="2" s="1"/>
  <c r="I6" i="2"/>
  <c r="V6" i="2" s="1"/>
  <c r="I11" i="2"/>
  <c r="W11" i="2" s="1"/>
  <c r="AY11" i="2" s="1"/>
  <c r="I12" i="2"/>
  <c r="W12" i="2" s="1"/>
  <c r="AY12" i="2" s="1"/>
  <c r="I13" i="2"/>
  <c r="Z13" i="2" s="1"/>
  <c r="AY13" i="2" s="1"/>
  <c r="I14" i="2"/>
  <c r="AW14" i="2" s="1"/>
  <c r="I42" i="2"/>
  <c r="W42" i="2" s="1"/>
  <c r="I28" i="2"/>
  <c r="U28" i="2" s="1"/>
  <c r="AY28" i="2" s="1"/>
  <c r="I26" i="2"/>
  <c r="AF26" i="2" s="1"/>
  <c r="I25" i="2"/>
  <c r="U25" i="2" s="1"/>
  <c r="I23" i="2"/>
  <c r="AC23" i="2" s="1"/>
  <c r="AY23" i="2" s="1"/>
  <c r="I22" i="2"/>
  <c r="AC22" i="2" s="1"/>
  <c r="I21" i="2"/>
  <c r="AB21" i="2" s="1"/>
  <c r="I38" i="2"/>
  <c r="U38" i="2" s="1"/>
  <c r="AY38" i="2" s="1"/>
  <c r="I41" i="2"/>
  <c r="V41" i="2" s="1"/>
  <c r="AY41" i="2" s="1"/>
  <c r="I50" i="2"/>
  <c r="AA50" i="2" s="1"/>
  <c r="AY50" i="2" s="1"/>
  <c r="I49" i="2"/>
  <c r="W49" i="2" s="1"/>
  <c r="I48" i="2"/>
  <c r="W48" i="2" s="1"/>
  <c r="I47" i="2"/>
  <c r="X47" i="2" s="1"/>
  <c r="I46" i="2"/>
  <c r="Z46" i="2" s="1"/>
  <c r="AY46" i="2" s="1"/>
  <c r="I45" i="2"/>
  <c r="AW45" i="2" s="1"/>
  <c r="I44" i="2"/>
  <c r="W44" i="2" s="1"/>
  <c r="AY44" i="2" s="1"/>
  <c r="I43" i="2"/>
  <c r="W43" i="2" s="1"/>
  <c r="AY43" i="2" s="1"/>
  <c r="I56" i="2"/>
  <c r="AC56" i="2" s="1"/>
  <c r="AY56" i="2" s="1"/>
  <c r="I55" i="2"/>
  <c r="AC55" i="2" s="1"/>
  <c r="AY55" i="2" s="1"/>
  <c r="I54" i="2"/>
  <c r="AB54" i="2" s="1"/>
  <c r="AY54" i="2" s="1"/>
  <c r="I60" i="2"/>
  <c r="AF60" i="2" s="1"/>
  <c r="AY60" i="2" s="1"/>
  <c r="I58" i="2"/>
  <c r="U58" i="2" s="1"/>
  <c r="AY58" i="2" s="1"/>
  <c r="I62" i="2"/>
  <c r="U62" i="2" s="1"/>
  <c r="AY62" i="2" s="1"/>
  <c r="I30" i="2"/>
  <c r="AL30" i="2" s="1"/>
  <c r="I19" i="2"/>
  <c r="AA19" i="2" s="1"/>
  <c r="I68" i="2"/>
  <c r="AP68" i="2" s="1"/>
  <c r="I67" i="2"/>
  <c r="U67" i="2" s="1"/>
  <c r="AY67" i="2" s="1"/>
  <c r="I66" i="2"/>
  <c r="AN66" i="2" s="1"/>
  <c r="AY66" i="2" s="1"/>
  <c r="I65" i="2"/>
  <c r="AM65" i="2" s="1"/>
  <c r="AY65" i="2" s="1"/>
  <c r="I71" i="2"/>
  <c r="U71" i="2" s="1"/>
  <c r="AY71" i="2" s="1"/>
  <c r="I73" i="2"/>
  <c r="V73" i="2" s="1"/>
  <c r="I98" i="2"/>
  <c r="AP98" i="2" s="1"/>
  <c r="AP112" i="2" s="1"/>
  <c r="I96" i="2"/>
  <c r="U96" i="2" s="1"/>
  <c r="AY96" i="2" s="1"/>
  <c r="I95" i="2"/>
  <c r="AN95" i="2" s="1"/>
  <c r="I94" i="2"/>
  <c r="AM94" i="2" s="1"/>
  <c r="I93" i="2"/>
  <c r="U93" i="2" s="1"/>
  <c r="AY93" i="2" s="1"/>
  <c r="I91" i="2"/>
  <c r="AF91" i="2" s="1"/>
  <c r="I90" i="2"/>
  <c r="U90" i="2" s="1"/>
  <c r="I88" i="2"/>
  <c r="AC88" i="2" s="1"/>
  <c r="AY88" i="2" s="1"/>
  <c r="I87" i="2"/>
  <c r="AC87" i="2" s="1"/>
  <c r="I86" i="2"/>
  <c r="AB86" i="2" s="1"/>
  <c r="I82" i="2"/>
  <c r="AA82" i="2" s="1"/>
  <c r="AY82" i="2" s="1"/>
  <c r="I81" i="2"/>
  <c r="AW81" i="2" s="1"/>
  <c r="I80" i="2"/>
  <c r="X80" i="2" s="1"/>
  <c r="I79" i="2"/>
  <c r="Z79" i="2" s="1"/>
  <c r="I78" i="2"/>
  <c r="W78" i="2" s="1"/>
  <c r="AY78" i="2" s="1"/>
  <c r="I77" i="2"/>
  <c r="W77" i="2" s="1"/>
  <c r="AY77" i="2" s="1"/>
  <c r="I76" i="2"/>
  <c r="W76" i="2" s="1"/>
  <c r="AY76" i="2" s="1"/>
  <c r="I75" i="2"/>
  <c r="W75" i="2" s="1"/>
  <c r="AY75" i="2" s="1"/>
  <c r="I126" i="2"/>
  <c r="AP126" i="2" s="1"/>
  <c r="AP138" i="2" s="1"/>
  <c r="I125" i="2"/>
  <c r="U125" i="2" s="1"/>
  <c r="AY125" i="2" s="1"/>
  <c r="I124" i="2"/>
  <c r="AN124" i="2" s="1"/>
  <c r="I123" i="2"/>
  <c r="AM123" i="2" s="1"/>
  <c r="I122" i="2"/>
  <c r="U122" i="2" s="1"/>
  <c r="AY122" i="2" s="1"/>
  <c r="I120" i="2"/>
  <c r="AF120" i="2" s="1"/>
  <c r="I119" i="2"/>
  <c r="U119" i="2" s="1"/>
  <c r="I117" i="2"/>
  <c r="AC117" i="2" s="1"/>
  <c r="AY117" i="2" s="1"/>
  <c r="I116" i="2"/>
  <c r="AC116" i="2" s="1"/>
  <c r="I115" i="2"/>
  <c r="AB115" i="2" s="1"/>
  <c r="I105" i="2"/>
  <c r="W105" i="2" s="1"/>
  <c r="AY105" i="2" s="1"/>
  <c r="I106" i="2"/>
  <c r="W106" i="2" s="1"/>
  <c r="AY106" i="2" s="1"/>
  <c r="I107" i="2"/>
  <c r="W107" i="2" s="1"/>
  <c r="AY107" i="2" s="1"/>
  <c r="I108" i="2"/>
  <c r="Z108" i="2" s="1"/>
  <c r="I109" i="2"/>
  <c r="X109" i="2" s="1"/>
  <c r="I110" i="2"/>
  <c r="AW110" i="2" s="1"/>
  <c r="I111" i="2"/>
  <c r="AA111" i="2" s="1"/>
  <c r="AY111" i="2" s="1"/>
  <c r="I104" i="2"/>
  <c r="W104" i="2" s="1"/>
  <c r="AY104" i="2" s="1"/>
  <c r="I102" i="2"/>
  <c r="V102" i="2" s="1"/>
  <c r="I100" i="2"/>
  <c r="U100" i="2" s="1"/>
  <c r="AY100" i="2" s="1"/>
  <c r="I165" i="2"/>
  <c r="AW165" i="2" s="1"/>
  <c r="I164" i="2"/>
  <c r="X164" i="2" s="1"/>
  <c r="I163" i="2"/>
  <c r="Z163" i="2" s="1"/>
  <c r="I162" i="2"/>
  <c r="W162" i="2" s="1"/>
  <c r="AY162" i="2" s="1"/>
  <c r="I161" i="2"/>
  <c r="W161" i="2" s="1"/>
  <c r="AY161" i="2" s="1"/>
  <c r="I160" i="2"/>
  <c r="W160" i="2" s="1"/>
  <c r="AY160" i="2" s="1"/>
  <c r="I159" i="2"/>
  <c r="W159" i="2" s="1"/>
  <c r="AY159" i="2" s="1"/>
  <c r="I158" i="2"/>
  <c r="V158" i="2" s="1"/>
  <c r="I156" i="2"/>
  <c r="U156" i="2" s="1"/>
  <c r="AY156" i="2" s="1"/>
  <c r="I152" i="2"/>
  <c r="AP152" i="2" s="1"/>
  <c r="AP166" i="2" s="1"/>
  <c r="I151" i="2"/>
  <c r="U151" i="2" s="1"/>
  <c r="AY151" i="2" s="1"/>
  <c r="I150" i="2"/>
  <c r="AN150" i="2" s="1"/>
  <c r="I149" i="2"/>
  <c r="AM149" i="2" s="1"/>
  <c r="I148" i="2"/>
  <c r="U148" i="2" s="1"/>
  <c r="AY148" i="2" s="1"/>
  <c r="I146" i="2"/>
  <c r="AF146" i="2" s="1"/>
  <c r="I145" i="2"/>
  <c r="U145" i="2" s="1"/>
  <c r="I130" i="2"/>
  <c r="V130" i="2" s="1"/>
  <c r="I131" i="2"/>
  <c r="W131" i="2" s="1"/>
  <c r="AY131" i="2" s="1"/>
  <c r="I132" i="2"/>
  <c r="W132" i="2" s="1"/>
  <c r="AY132" i="2" s="1"/>
  <c r="I133" i="2"/>
  <c r="W133" i="2" s="1"/>
  <c r="AY133" i="2" s="1"/>
  <c r="I134" i="2"/>
  <c r="W134" i="2" s="1"/>
  <c r="AY134" i="2" s="1"/>
  <c r="I135" i="2"/>
  <c r="Z135" i="2" s="1"/>
  <c r="I136" i="2"/>
  <c r="X136" i="2" s="1"/>
  <c r="I137" i="2"/>
  <c r="AW137" i="2" s="1"/>
  <c r="I141" i="2"/>
  <c r="AB141" i="2" s="1"/>
  <c r="I142" i="2"/>
  <c r="AC142" i="2" s="1"/>
  <c r="I143" i="2"/>
  <c r="AC143" i="2" s="1"/>
  <c r="AY143" i="2" s="1"/>
  <c r="I128" i="2"/>
  <c r="U128" i="2" s="1"/>
  <c r="AY128" i="2" s="1"/>
  <c r="D5" i="2"/>
  <c r="F5" i="2" s="1"/>
  <c r="D6" i="2"/>
  <c r="D7" i="2"/>
  <c r="D8" i="2"/>
  <c r="D9" i="2"/>
  <c r="D11" i="2"/>
  <c r="D12" i="2"/>
  <c r="D13" i="2"/>
  <c r="D14" i="2"/>
  <c r="D19" i="2"/>
  <c r="D20" i="2"/>
  <c r="D21" i="2"/>
  <c r="D22" i="2"/>
  <c r="D23" i="2"/>
  <c r="D24" i="2"/>
  <c r="D25" i="2"/>
  <c r="D26" i="2"/>
  <c r="D27" i="2"/>
  <c r="D28" i="2"/>
  <c r="D30" i="2"/>
  <c r="D32" i="2"/>
  <c r="D33" i="2"/>
  <c r="D34" i="2"/>
  <c r="D36" i="2"/>
  <c r="D37" i="2"/>
  <c r="D38" i="2"/>
  <c r="D41" i="2"/>
  <c r="D42" i="2"/>
  <c r="D43" i="2"/>
  <c r="D44" i="2"/>
  <c r="D45" i="2"/>
  <c r="D46" i="2"/>
  <c r="D47" i="2"/>
  <c r="D48" i="2"/>
  <c r="D49" i="2"/>
  <c r="D50" i="2"/>
  <c r="D53" i="2"/>
  <c r="D54" i="2"/>
  <c r="D55" i="2"/>
  <c r="D56" i="2"/>
  <c r="D57" i="2"/>
  <c r="D58" i="2"/>
  <c r="D60" i="2"/>
  <c r="D61" i="2"/>
  <c r="D62" i="2"/>
  <c r="D65" i="2"/>
  <c r="D66" i="2"/>
  <c r="D67" i="2"/>
  <c r="D68" i="2"/>
  <c r="D69" i="2"/>
  <c r="D71" i="2"/>
  <c r="D73" i="2"/>
  <c r="D75" i="2"/>
  <c r="D76" i="2"/>
  <c r="D77" i="2"/>
  <c r="D78" i="2"/>
  <c r="D79" i="2"/>
  <c r="D80" i="2"/>
  <c r="D81" i="2"/>
  <c r="D82" i="2"/>
  <c r="D85" i="2"/>
  <c r="D86" i="2"/>
  <c r="D87" i="2"/>
  <c r="D88" i="2"/>
  <c r="D89" i="2"/>
  <c r="D90" i="2"/>
  <c r="D91" i="2"/>
  <c r="D92" i="2"/>
  <c r="D93" i="2"/>
  <c r="D94" i="2"/>
  <c r="D95" i="2"/>
  <c r="D96" i="2"/>
  <c r="D98" i="2"/>
  <c r="D99" i="2"/>
  <c r="D100" i="2"/>
  <c r="D102" i="2"/>
  <c r="D104" i="2"/>
  <c r="D105" i="2"/>
  <c r="D106" i="2"/>
  <c r="D107" i="2"/>
  <c r="D108" i="2"/>
  <c r="D109" i="2"/>
  <c r="D110" i="2"/>
  <c r="D111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30" i="2"/>
  <c r="D131" i="2"/>
  <c r="D132" i="2"/>
  <c r="D133" i="2"/>
  <c r="D134" i="2"/>
  <c r="D135" i="2"/>
  <c r="D136" i="2"/>
  <c r="D137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6" i="2"/>
  <c r="D158" i="2"/>
  <c r="D159" i="2"/>
  <c r="D160" i="2"/>
  <c r="D161" i="2"/>
  <c r="D162" i="2"/>
  <c r="D163" i="2"/>
  <c r="D164" i="2"/>
  <c r="D165" i="2"/>
  <c r="W172" i="2"/>
  <c r="W176" i="2" s="1"/>
  <c r="W175" i="2" s="1"/>
  <c r="W181" i="2"/>
  <c r="W184" i="2"/>
  <c r="W189" i="2"/>
  <c r="W191" i="2" s="1"/>
  <c r="D194" i="2"/>
  <c r="F194" i="2" s="1"/>
  <c r="U194" i="2" s="1"/>
  <c r="V194" i="2" s="1"/>
  <c r="W194" i="2" s="1"/>
  <c r="X194" i="2" s="1"/>
  <c r="D195" i="2"/>
  <c r="F195" i="2" s="1"/>
  <c r="U195" i="2" s="1"/>
  <c r="V195" i="2" s="1"/>
  <c r="W195" i="2" s="1"/>
  <c r="X195" i="2" s="1"/>
  <c r="AP83" i="2" l="1"/>
  <c r="AY68" i="2"/>
  <c r="N94" i="8"/>
  <c r="S59" i="14"/>
  <c r="AS190" i="13"/>
  <c r="AU31" i="12"/>
  <c r="AU52" i="12" s="1"/>
  <c r="AU175" i="12" s="1"/>
  <c r="D31" i="12"/>
  <c r="AZ31" i="12"/>
  <c r="AR94" i="13"/>
  <c r="AR118" i="13"/>
  <c r="H53" i="11"/>
  <c r="AD83" i="13"/>
  <c r="AD55" i="13"/>
  <c r="AA118" i="13"/>
  <c r="AA94" i="13"/>
  <c r="AU29" i="9"/>
  <c r="AU50" i="9" s="1"/>
  <c r="AU165" i="9" s="1"/>
  <c r="D29" i="9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D83" i="13"/>
  <c r="Y39" i="2"/>
  <c r="Y72" i="2" s="1"/>
  <c r="Y101" i="2" s="1"/>
  <c r="Y44" i="13"/>
  <c r="F29" i="7"/>
  <c r="F30" i="7" s="1"/>
  <c r="F31" i="7" s="1"/>
  <c r="F32" i="7" s="1"/>
  <c r="F33" i="7" s="1"/>
  <c r="F34" i="7" s="1"/>
  <c r="F35" i="7" s="1"/>
  <c r="F36" i="7" s="1"/>
  <c r="F37" i="7" s="1"/>
  <c r="F38" i="7" s="1"/>
  <c r="AU29" i="2"/>
  <c r="AU51" i="2" s="1"/>
  <c r="D29" i="2"/>
  <c r="AY29" i="2"/>
  <c r="D34" i="13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AV34" i="13"/>
  <c r="AV55" i="13" s="1"/>
  <c r="AV190" i="13" s="1"/>
  <c r="BE34" i="13"/>
  <c r="BE44" i="13"/>
  <c r="D44" i="13"/>
  <c r="W118" i="13"/>
  <c r="W94" i="13"/>
  <c r="AT190" i="13"/>
  <c r="S46" i="14"/>
  <c r="AQ118" i="13"/>
  <c r="AQ94" i="13"/>
  <c r="H98" i="14"/>
  <c r="N90" i="14"/>
  <c r="D29" i="7"/>
  <c r="AU29" i="7"/>
  <c r="AU51" i="7" s="1"/>
  <c r="AU170" i="7" s="1"/>
  <c r="AZ29" i="7"/>
  <c r="F20" i="12"/>
  <c r="AZ85" i="7"/>
  <c r="AX113" i="7"/>
  <c r="K63" i="8" s="1"/>
  <c r="C141" i="7"/>
  <c r="AX114" i="7"/>
  <c r="D114" i="7"/>
  <c r="H96" i="11"/>
  <c r="N88" i="11"/>
  <c r="N89" i="8"/>
  <c r="N88" i="10"/>
  <c r="N94" i="11"/>
  <c r="N92" i="8"/>
  <c r="N88" i="8"/>
  <c r="C166" i="2"/>
  <c r="F39" i="7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AX174" i="12"/>
  <c r="AZ145" i="12"/>
  <c r="AO17" i="7"/>
  <c r="AO170" i="7" s="1"/>
  <c r="AZ10" i="7"/>
  <c r="AO17" i="12"/>
  <c r="AO175" i="12" s="1"/>
  <c r="AZ10" i="12"/>
  <c r="H55" i="11"/>
  <c r="AO17" i="9"/>
  <c r="AO165" i="9" s="1"/>
  <c r="AZ10" i="9"/>
  <c r="Y39" i="9"/>
  <c r="Y71" i="9" s="1"/>
  <c r="Y41" i="12"/>
  <c r="Y52" i="12" s="1"/>
  <c r="W72" i="2"/>
  <c r="W83" i="2" s="1"/>
  <c r="AY39" i="2"/>
  <c r="AR72" i="2"/>
  <c r="AR51" i="2"/>
  <c r="S92" i="14" s="1"/>
  <c r="AQ51" i="2"/>
  <c r="AQ72" i="2"/>
  <c r="AD72" i="2"/>
  <c r="AD51" i="2"/>
  <c r="D39" i="2"/>
  <c r="W71" i="9"/>
  <c r="W50" i="9"/>
  <c r="AZ39" i="9"/>
  <c r="AR75" i="12"/>
  <c r="AR52" i="12"/>
  <c r="AQ72" i="7"/>
  <c r="AQ51" i="7"/>
  <c r="AA72" i="7"/>
  <c r="AA51" i="7"/>
  <c r="I20" i="8" s="1"/>
  <c r="AD71" i="9"/>
  <c r="AD50" i="9"/>
  <c r="Y72" i="7"/>
  <c r="Y51" i="7"/>
  <c r="W72" i="7"/>
  <c r="AZ39" i="7"/>
  <c r="W51" i="7"/>
  <c r="AR50" i="9"/>
  <c r="AR71" i="9"/>
  <c r="AQ71" i="9"/>
  <c r="AQ50" i="9"/>
  <c r="AA75" i="12"/>
  <c r="AA52" i="12"/>
  <c r="AD75" i="12"/>
  <c r="AD52" i="12"/>
  <c r="W75" i="12"/>
  <c r="AZ41" i="12"/>
  <c r="W52" i="12"/>
  <c r="AR72" i="7"/>
  <c r="AR51" i="7"/>
  <c r="C174" i="12"/>
  <c r="D41" i="12"/>
  <c r="AQ75" i="12"/>
  <c r="AQ52" i="12"/>
  <c r="AA71" i="9"/>
  <c r="AA50" i="9"/>
  <c r="I20" i="10" s="1"/>
  <c r="I26" i="10" s="1"/>
  <c r="AD72" i="7"/>
  <c r="AD51" i="7"/>
  <c r="Y75" i="12"/>
  <c r="H53" i="1"/>
  <c r="H53" i="10"/>
  <c r="H53" i="8"/>
  <c r="B99" i="10"/>
  <c r="C149" i="7"/>
  <c r="D128" i="7"/>
  <c r="AZ128" i="7"/>
  <c r="AY81" i="2"/>
  <c r="AW83" i="2"/>
  <c r="AY165" i="2"/>
  <c r="AW166" i="2"/>
  <c r="M64" i="8" s="1"/>
  <c r="AY14" i="2"/>
  <c r="AW17" i="2"/>
  <c r="AY36" i="2"/>
  <c r="AP51" i="2"/>
  <c r="AY45" i="2"/>
  <c r="AW51" i="2"/>
  <c r="AY137" i="2"/>
  <c r="AW138" i="2"/>
  <c r="AY110" i="2"/>
  <c r="AW112" i="2"/>
  <c r="AY79" i="2"/>
  <c r="Z83" i="2"/>
  <c r="AL51" i="2"/>
  <c r="AL167" i="2" s="1"/>
  <c r="AY30" i="2"/>
  <c r="AY142" i="2"/>
  <c r="AC166" i="2"/>
  <c r="M79" i="14" s="1"/>
  <c r="AY136" i="2"/>
  <c r="X138" i="2"/>
  <c r="L60" i="14" s="1"/>
  <c r="AY146" i="2"/>
  <c r="AF166" i="2"/>
  <c r="M69" i="14" s="1"/>
  <c r="AY163" i="2"/>
  <c r="Z166" i="2"/>
  <c r="M37" i="14" s="1"/>
  <c r="AY102" i="2"/>
  <c r="V112" i="2"/>
  <c r="AY109" i="2"/>
  <c r="X112" i="2"/>
  <c r="AY119" i="2"/>
  <c r="U138" i="2"/>
  <c r="L81" i="14" s="1"/>
  <c r="AY124" i="2"/>
  <c r="AN138" i="2"/>
  <c r="L30" i="14" s="1"/>
  <c r="AY80" i="2"/>
  <c r="X83" i="2"/>
  <c r="AY87" i="2"/>
  <c r="AC112" i="2"/>
  <c r="AY98" i="2"/>
  <c r="AO112" i="2"/>
  <c r="AN83" i="2"/>
  <c r="AB83" i="2"/>
  <c r="J28" i="14" s="1"/>
  <c r="J35" i="14" s="1"/>
  <c r="AY48" i="2"/>
  <c r="X51" i="2"/>
  <c r="AY25" i="2"/>
  <c r="U51" i="2"/>
  <c r="X17" i="2"/>
  <c r="H60" i="14" s="1"/>
  <c r="AN51" i="2"/>
  <c r="AY141" i="2"/>
  <c r="AB166" i="2"/>
  <c r="AY135" i="2"/>
  <c r="Z138" i="2"/>
  <c r="L37" i="14" s="1"/>
  <c r="AY152" i="2"/>
  <c r="AO166" i="2"/>
  <c r="M55" i="14" s="1"/>
  <c r="M57" i="14" s="1"/>
  <c r="AY164" i="2"/>
  <c r="X166" i="2"/>
  <c r="M60" i="14" s="1"/>
  <c r="AY108" i="2"/>
  <c r="Z112" i="2"/>
  <c r="AY115" i="2"/>
  <c r="AB138" i="2"/>
  <c r="L28" i="14" s="1"/>
  <c r="AY120" i="2"/>
  <c r="AF138" i="2"/>
  <c r="L69" i="14" s="1"/>
  <c r="AY94" i="2"/>
  <c r="AM112" i="2"/>
  <c r="AY73" i="2"/>
  <c r="V83" i="2"/>
  <c r="AC83" i="2"/>
  <c r="J79" i="14" s="1"/>
  <c r="AY49" i="2"/>
  <c r="Y51" i="2"/>
  <c r="AY21" i="2"/>
  <c r="AB51" i="2"/>
  <c r="I28" i="14" s="1"/>
  <c r="S28" i="14" s="1"/>
  <c r="AY26" i="2"/>
  <c r="AF51" i="2"/>
  <c r="S69" i="14" s="1"/>
  <c r="Z17" i="2"/>
  <c r="H37" i="14" s="1"/>
  <c r="AY6" i="2"/>
  <c r="V17" i="2"/>
  <c r="AY5" i="2"/>
  <c r="U17" i="2"/>
  <c r="AO51" i="2"/>
  <c r="AY130" i="2"/>
  <c r="V138" i="2"/>
  <c r="L83" i="14" s="1"/>
  <c r="AY149" i="2"/>
  <c r="AM166" i="2"/>
  <c r="M61" i="14" s="1"/>
  <c r="AY116" i="2"/>
  <c r="AC138" i="2"/>
  <c r="L79" i="14" s="1"/>
  <c r="AY126" i="2"/>
  <c r="AO138" i="2"/>
  <c r="L55" i="14" s="1"/>
  <c r="L57" i="14" s="1"/>
  <c r="AY90" i="2"/>
  <c r="U112" i="2"/>
  <c r="AY95" i="2"/>
  <c r="AN112" i="2"/>
  <c r="AO83" i="2"/>
  <c r="J55" i="14" s="1"/>
  <c r="J57" i="14" s="1"/>
  <c r="U83" i="2"/>
  <c r="AY22" i="2"/>
  <c r="AC51" i="2"/>
  <c r="S79" i="14" s="1"/>
  <c r="AY7" i="2"/>
  <c r="W17" i="2"/>
  <c r="AY145" i="2"/>
  <c r="U166" i="2"/>
  <c r="AY150" i="2"/>
  <c r="AN166" i="2"/>
  <c r="M30" i="14" s="1"/>
  <c r="M35" i="14" s="1"/>
  <c r="AY158" i="2"/>
  <c r="V166" i="2"/>
  <c r="AY123" i="2"/>
  <c r="AM138" i="2"/>
  <c r="L61" i="14" s="1"/>
  <c r="AY86" i="2"/>
  <c r="AB112" i="2"/>
  <c r="AY91" i="2"/>
  <c r="AF112" i="2"/>
  <c r="AM83" i="2"/>
  <c r="J61" i="14" s="1"/>
  <c r="J62" i="14" s="1"/>
  <c r="AY19" i="2"/>
  <c r="AA51" i="2"/>
  <c r="I20" i="1" s="1"/>
  <c r="AF83" i="2"/>
  <c r="AY47" i="2"/>
  <c r="Z51" i="2"/>
  <c r="V51" i="2"/>
  <c r="AY42" i="2"/>
  <c r="W51" i="2"/>
  <c r="Y17" i="2"/>
  <c r="AM51" i="2"/>
  <c r="I61" i="14" s="1"/>
  <c r="S61" i="14" s="1"/>
  <c r="Y83" i="2"/>
  <c r="AA83" i="2"/>
  <c r="J20" i="1" s="1"/>
  <c r="J26" i="1" s="1"/>
  <c r="AA129" i="2"/>
  <c r="AA112" i="2"/>
  <c r="K20" i="1" s="1"/>
  <c r="K26" i="1" s="1"/>
  <c r="Y129" i="2"/>
  <c r="Y112" i="2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W185" i="2"/>
  <c r="G95" i="1"/>
  <c r="F95" i="1"/>
  <c r="B95" i="1"/>
  <c r="H94" i="1"/>
  <c r="G94" i="1"/>
  <c r="F94" i="1"/>
  <c r="E94" i="1"/>
  <c r="D94" i="1"/>
  <c r="C94" i="1"/>
  <c r="B94" i="1"/>
  <c r="F93" i="1"/>
  <c r="N93" i="1" s="1"/>
  <c r="H92" i="1"/>
  <c r="G92" i="1"/>
  <c r="F92" i="1"/>
  <c r="E92" i="1"/>
  <c r="D92" i="1"/>
  <c r="C92" i="1"/>
  <c r="B92" i="1"/>
  <c r="E91" i="1"/>
  <c r="B91" i="1"/>
  <c r="N91" i="1" s="1"/>
  <c r="G90" i="1"/>
  <c r="F90" i="1"/>
  <c r="E90" i="1"/>
  <c r="D90" i="1"/>
  <c r="C90" i="1"/>
  <c r="B90" i="1"/>
  <c r="H89" i="1"/>
  <c r="G89" i="1"/>
  <c r="F89" i="1"/>
  <c r="E89" i="1"/>
  <c r="D89" i="1"/>
  <c r="C89" i="1"/>
  <c r="B89" i="1"/>
  <c r="G88" i="1"/>
  <c r="F88" i="1"/>
  <c r="E88" i="1"/>
  <c r="D88" i="1"/>
  <c r="C88" i="1"/>
  <c r="B88" i="1"/>
  <c r="H87" i="1"/>
  <c r="G87" i="1"/>
  <c r="F87" i="1"/>
  <c r="E87" i="1"/>
  <c r="D87" i="1"/>
  <c r="C87" i="1"/>
  <c r="B87" i="1"/>
  <c r="N86" i="1"/>
  <c r="G83" i="1"/>
  <c r="F83" i="1"/>
  <c r="E83" i="1"/>
  <c r="D83" i="1"/>
  <c r="C83" i="1"/>
  <c r="B83" i="1"/>
  <c r="G82" i="1"/>
  <c r="F82" i="1"/>
  <c r="E82" i="1"/>
  <c r="D82" i="1"/>
  <c r="C82" i="1"/>
  <c r="B82" i="1"/>
  <c r="G81" i="1"/>
  <c r="F81" i="1"/>
  <c r="E81" i="1"/>
  <c r="D81" i="1"/>
  <c r="C81" i="1"/>
  <c r="B81" i="1"/>
  <c r="C80" i="1"/>
  <c r="N80" i="1" s="1"/>
  <c r="G79" i="1"/>
  <c r="F79" i="1"/>
  <c r="E79" i="1"/>
  <c r="D79" i="1"/>
  <c r="C79" i="1"/>
  <c r="B79" i="1"/>
  <c r="B78" i="1"/>
  <c r="N78" i="1" s="1"/>
  <c r="H77" i="1"/>
  <c r="G77" i="1"/>
  <c r="F77" i="1"/>
  <c r="E77" i="1"/>
  <c r="D77" i="1"/>
  <c r="C77" i="1"/>
  <c r="B77" i="1"/>
  <c r="N76" i="1"/>
  <c r="G74" i="1"/>
  <c r="F74" i="1"/>
  <c r="E74" i="1"/>
  <c r="D74" i="1"/>
  <c r="C74" i="1"/>
  <c r="B74" i="1"/>
  <c r="H73" i="1"/>
  <c r="G73" i="1"/>
  <c r="F73" i="1"/>
  <c r="E73" i="1"/>
  <c r="D73" i="1"/>
  <c r="C73" i="1"/>
  <c r="B73" i="1"/>
  <c r="H72" i="1"/>
  <c r="G72" i="1"/>
  <c r="F72" i="1"/>
  <c r="E72" i="1"/>
  <c r="D72" i="1"/>
  <c r="C72" i="1"/>
  <c r="B72" i="1"/>
  <c r="G71" i="1"/>
  <c r="F71" i="1"/>
  <c r="E71" i="1"/>
  <c r="D71" i="1"/>
  <c r="C71" i="1"/>
  <c r="H70" i="1"/>
  <c r="B70" i="1"/>
  <c r="N70" i="1" s="1"/>
  <c r="E69" i="1"/>
  <c r="C69" i="1"/>
  <c r="B69" i="1"/>
  <c r="G68" i="1"/>
  <c r="F68" i="1"/>
  <c r="E68" i="1"/>
  <c r="D68" i="1"/>
  <c r="C68" i="1"/>
  <c r="B68" i="1"/>
  <c r="H67" i="1"/>
  <c r="G67" i="1"/>
  <c r="F67" i="1"/>
  <c r="E67" i="1"/>
  <c r="D67" i="1"/>
  <c r="C67" i="1"/>
  <c r="B67" i="1"/>
  <c r="H66" i="1"/>
  <c r="G66" i="1"/>
  <c r="E66" i="1"/>
  <c r="H65" i="1"/>
  <c r="G65" i="1"/>
  <c r="F65" i="1"/>
  <c r="F64" i="1"/>
  <c r="E64" i="1"/>
  <c r="D64" i="1"/>
  <c r="C64" i="1"/>
  <c r="B64" i="1"/>
  <c r="N63" i="1"/>
  <c r="N62" i="1"/>
  <c r="H59" i="1"/>
  <c r="G59" i="1"/>
  <c r="F59" i="1"/>
  <c r="E59" i="1"/>
  <c r="D59" i="1"/>
  <c r="C59" i="1"/>
  <c r="B59" i="1"/>
  <c r="G58" i="1"/>
  <c r="F58" i="1"/>
  <c r="E58" i="1"/>
  <c r="D58" i="1"/>
  <c r="C58" i="1"/>
  <c r="B58" i="1"/>
  <c r="H57" i="1"/>
  <c r="G57" i="1"/>
  <c r="F57" i="1"/>
  <c r="E57" i="1"/>
  <c r="D57" i="1"/>
  <c r="C57" i="1"/>
  <c r="N56" i="1"/>
  <c r="M54" i="1"/>
  <c r="L54" i="1"/>
  <c r="K54" i="1"/>
  <c r="J54" i="1"/>
  <c r="I54" i="1"/>
  <c r="H54" i="1"/>
  <c r="G54" i="1"/>
  <c r="G53" i="1"/>
  <c r="E53" i="1"/>
  <c r="B53" i="1"/>
  <c r="G52" i="1"/>
  <c r="F52" i="1"/>
  <c r="F55" i="1" s="1"/>
  <c r="E52" i="1"/>
  <c r="D52" i="1"/>
  <c r="C52" i="1"/>
  <c r="C55" i="1" s="1"/>
  <c r="B52" i="1"/>
  <c r="G51" i="1"/>
  <c r="E51" i="1"/>
  <c r="D51" i="1"/>
  <c r="B51" i="1"/>
  <c r="N50" i="1"/>
  <c r="N49" i="1"/>
  <c r="M47" i="1"/>
  <c r="L47" i="1"/>
  <c r="K47" i="1"/>
  <c r="E46" i="1"/>
  <c r="N46" i="1" s="1"/>
  <c r="G45" i="1"/>
  <c r="G47" i="1" s="1"/>
  <c r="F45" i="1"/>
  <c r="F47" i="1" s="1"/>
  <c r="D45" i="1"/>
  <c r="C45" i="1"/>
  <c r="B45" i="1"/>
  <c r="B44" i="1"/>
  <c r="J43" i="1"/>
  <c r="J47" i="1" s="1"/>
  <c r="I43" i="1"/>
  <c r="I47" i="1" s="1"/>
  <c r="H43" i="1"/>
  <c r="H47" i="1" s="1"/>
  <c r="D43" i="1"/>
  <c r="C43" i="1"/>
  <c r="E42" i="1"/>
  <c r="E47" i="1" s="1"/>
  <c r="D42" i="1"/>
  <c r="C42" i="1"/>
  <c r="B42" i="1"/>
  <c r="N41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G37" i="1"/>
  <c r="G40" i="1" s="1"/>
  <c r="F37" i="1"/>
  <c r="E37" i="1"/>
  <c r="D37" i="1"/>
  <c r="C37" i="1"/>
  <c r="C40" i="1" s="1"/>
  <c r="B37" i="1"/>
  <c r="N36" i="1"/>
  <c r="F34" i="1"/>
  <c r="E34" i="1"/>
  <c r="D34" i="1"/>
  <c r="C34" i="1"/>
  <c r="B34" i="1"/>
  <c r="F33" i="1"/>
  <c r="E33" i="1"/>
  <c r="D33" i="1"/>
  <c r="B33" i="1"/>
  <c r="B32" i="1"/>
  <c r="N32" i="1" s="1"/>
  <c r="F31" i="1"/>
  <c r="D31" i="1"/>
  <c r="C31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N27" i="1"/>
  <c r="F25" i="1"/>
  <c r="E25" i="1"/>
  <c r="G24" i="1"/>
  <c r="F24" i="1"/>
  <c r="E24" i="1"/>
  <c r="D24" i="1"/>
  <c r="B24" i="1"/>
  <c r="C23" i="1"/>
  <c r="N23" i="1" s="1"/>
  <c r="I22" i="1"/>
  <c r="G22" i="1"/>
  <c r="D21" i="1"/>
  <c r="N21" i="1" s="1"/>
  <c r="H20" i="1"/>
  <c r="H26" i="1" s="1"/>
  <c r="G20" i="1"/>
  <c r="F20" i="1"/>
  <c r="E20" i="1"/>
  <c r="D20" i="1"/>
  <c r="C20" i="1"/>
  <c r="B20" i="1"/>
  <c r="N19" i="1"/>
  <c r="N18" i="1"/>
  <c r="H15" i="1"/>
  <c r="H16" i="1" s="1"/>
  <c r="M14" i="1"/>
  <c r="M15" i="1" s="1"/>
  <c r="M16" i="1" s="1"/>
  <c r="L14" i="1"/>
  <c r="L15" i="1" s="1"/>
  <c r="L16" i="1" s="1"/>
  <c r="K14" i="1"/>
  <c r="K15" i="1" s="1"/>
  <c r="K16" i="1" s="1"/>
  <c r="J14" i="1"/>
  <c r="J15" i="1" s="1"/>
  <c r="J16" i="1" s="1"/>
  <c r="I14" i="1"/>
  <c r="I15" i="1" s="1"/>
  <c r="I16" i="1" s="1"/>
  <c r="H14" i="1"/>
  <c r="G13" i="1"/>
  <c r="G14" i="1" s="1"/>
  <c r="F13" i="1"/>
  <c r="E13" i="1"/>
  <c r="E14" i="1" s="1"/>
  <c r="D13" i="1"/>
  <c r="C13" i="1"/>
  <c r="B13" i="1"/>
  <c r="F12" i="1"/>
  <c r="D12" i="1"/>
  <c r="C12" i="1"/>
  <c r="D11" i="1"/>
  <c r="N11" i="1" s="1"/>
  <c r="N10" i="1"/>
  <c r="G9" i="1"/>
  <c r="F9" i="1"/>
  <c r="E9" i="1"/>
  <c r="D9" i="1"/>
  <c r="C9" i="1"/>
  <c r="B9" i="1"/>
  <c r="E8" i="1"/>
  <c r="N8" i="1" s="1"/>
  <c r="G7" i="1"/>
  <c r="F7" i="1"/>
  <c r="E7" i="1"/>
  <c r="D7" i="1"/>
  <c r="C7" i="1"/>
  <c r="B7" i="1"/>
  <c r="L62" i="14" l="1"/>
  <c r="S55" i="14"/>
  <c r="S84" i="14"/>
  <c r="M62" i="14"/>
  <c r="M63" i="14" s="1"/>
  <c r="F61" i="13"/>
  <c r="F62" i="13" s="1"/>
  <c r="F63" i="13"/>
  <c r="F64" i="13" s="1"/>
  <c r="F65" i="13" s="1"/>
  <c r="F66" i="13" s="1"/>
  <c r="F67" i="13" s="1"/>
  <c r="F68" i="13" s="1"/>
  <c r="F69" i="13" s="1"/>
  <c r="F70" i="13" s="1"/>
  <c r="F71" i="13" s="1"/>
  <c r="F72" i="13" s="1"/>
  <c r="F73" i="13" s="1"/>
  <c r="F74" i="13" s="1"/>
  <c r="F75" i="13" s="1"/>
  <c r="F76" i="13" s="1"/>
  <c r="F77" i="13" s="1"/>
  <c r="F78" i="13" s="1"/>
  <c r="F79" i="13" s="1"/>
  <c r="K68" i="11"/>
  <c r="K75" i="11" s="1"/>
  <c r="K70" i="14"/>
  <c r="I82" i="11"/>
  <c r="H40" i="14"/>
  <c r="J81" i="10"/>
  <c r="J81" i="11"/>
  <c r="K37" i="11"/>
  <c r="K37" i="14"/>
  <c r="I79" i="1"/>
  <c r="I79" i="11"/>
  <c r="I79" i="10"/>
  <c r="I79" i="8"/>
  <c r="K77" i="11"/>
  <c r="K79" i="14"/>
  <c r="P79" i="14" s="1"/>
  <c r="K58" i="11"/>
  <c r="K60" i="14"/>
  <c r="J82" i="11"/>
  <c r="AX175" i="12"/>
  <c r="M65" i="14"/>
  <c r="P46" i="14"/>
  <c r="N46" i="14"/>
  <c r="AD118" i="13"/>
  <c r="AD94" i="13"/>
  <c r="J68" i="11"/>
  <c r="J77" i="14"/>
  <c r="K67" i="11"/>
  <c r="K69" i="14"/>
  <c r="J79" i="1"/>
  <c r="J79" i="10"/>
  <c r="J79" i="8"/>
  <c r="J79" i="11"/>
  <c r="K81" i="14"/>
  <c r="K79" i="11"/>
  <c r="P69" i="14"/>
  <c r="I68" i="11"/>
  <c r="H68" i="11" s="1"/>
  <c r="I77" i="14"/>
  <c r="I98" i="14"/>
  <c r="S98" i="14" s="1"/>
  <c r="H57" i="14"/>
  <c r="H62" i="14"/>
  <c r="P59" i="14"/>
  <c r="N59" i="14"/>
  <c r="F84" i="1"/>
  <c r="D96" i="1"/>
  <c r="J63" i="14"/>
  <c r="S83" i="14"/>
  <c r="K59" i="11"/>
  <c r="K61" i="14"/>
  <c r="N61" i="14" s="1"/>
  <c r="L35" i="14"/>
  <c r="I58" i="11"/>
  <c r="I62" i="14"/>
  <c r="K53" i="11"/>
  <c r="K55" i="11" s="1"/>
  <c r="K61" i="11" s="1"/>
  <c r="K55" i="14"/>
  <c r="K57" i="14" s="1"/>
  <c r="K81" i="10"/>
  <c r="K83" i="14"/>
  <c r="K81" i="11"/>
  <c r="J37" i="11"/>
  <c r="J37" i="14"/>
  <c r="AP167" i="2"/>
  <c r="I20" i="11"/>
  <c r="Y83" i="13"/>
  <c r="Y55" i="13"/>
  <c r="AZ29" i="9"/>
  <c r="AA148" i="13"/>
  <c r="AA128" i="13"/>
  <c r="B26" i="1"/>
  <c r="N25" i="1"/>
  <c r="F29" i="2"/>
  <c r="F30" i="2" s="1"/>
  <c r="F31" i="2" s="1"/>
  <c r="F32" i="2" s="1"/>
  <c r="F33" i="2" s="1"/>
  <c r="F34" i="2" s="1"/>
  <c r="F35" i="2" s="1"/>
  <c r="F36" i="2" s="1"/>
  <c r="F37" i="2" s="1"/>
  <c r="F38" i="2" s="1"/>
  <c r="I37" i="11"/>
  <c r="I37" i="14"/>
  <c r="I40" i="14" s="1"/>
  <c r="K28" i="11"/>
  <c r="K28" i="14"/>
  <c r="M83" i="14"/>
  <c r="M81" i="11"/>
  <c r="M81" i="10"/>
  <c r="M79" i="1"/>
  <c r="M81" i="14"/>
  <c r="M79" i="11"/>
  <c r="M79" i="8"/>
  <c r="M79" i="10"/>
  <c r="K30" i="11"/>
  <c r="K30" i="14"/>
  <c r="N30" i="14" s="1"/>
  <c r="L63" i="14"/>
  <c r="I35" i="14"/>
  <c r="S35" i="14" s="1"/>
  <c r="Y50" i="9"/>
  <c r="AQ128" i="13"/>
  <c r="AQ148" i="13"/>
  <c r="W128" i="13"/>
  <c r="W148" i="13"/>
  <c r="I51" i="11"/>
  <c r="N51" i="11" s="1"/>
  <c r="S53" i="14"/>
  <c r="I51" i="1"/>
  <c r="I51" i="8"/>
  <c r="N51" i="8" s="1"/>
  <c r="I51" i="10"/>
  <c r="N51" i="10" s="1"/>
  <c r="AU167" i="2"/>
  <c r="AR128" i="13"/>
  <c r="AR148" i="13"/>
  <c r="F21" i="12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F53" i="12" s="1"/>
  <c r="F54" i="12" s="1"/>
  <c r="F55" i="12" s="1"/>
  <c r="F56" i="12" s="1"/>
  <c r="F57" i="12" s="1"/>
  <c r="F58" i="12" s="1"/>
  <c r="F53" i="9"/>
  <c r="F54" i="9" s="1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F69" i="9" s="1"/>
  <c r="F70" i="9" s="1"/>
  <c r="F71" i="9" s="1"/>
  <c r="F72" i="9" s="1"/>
  <c r="F73" i="9" s="1"/>
  <c r="F74" i="9" s="1"/>
  <c r="F75" i="9" s="1"/>
  <c r="F76" i="9" s="1"/>
  <c r="F77" i="9" s="1"/>
  <c r="F78" i="9" s="1"/>
  <c r="F79" i="9" s="1"/>
  <c r="F80" i="9" s="1"/>
  <c r="F81" i="9" s="1"/>
  <c r="F82" i="9" s="1"/>
  <c r="F83" i="9" s="1"/>
  <c r="F84" i="9" s="1"/>
  <c r="F85" i="9" s="1"/>
  <c r="F86" i="9" s="1"/>
  <c r="F87" i="9" s="1"/>
  <c r="F88" i="9" s="1"/>
  <c r="F89" i="9" s="1"/>
  <c r="F90" i="9" s="1"/>
  <c r="F91" i="9" s="1"/>
  <c r="F92" i="9" s="1"/>
  <c r="F93" i="9" s="1"/>
  <c r="F94" i="9" s="1"/>
  <c r="F95" i="9" s="1"/>
  <c r="F96" i="9" s="1"/>
  <c r="F97" i="9" s="1"/>
  <c r="F98" i="9" s="1"/>
  <c r="F99" i="9" s="1"/>
  <c r="F100" i="9" s="1"/>
  <c r="F101" i="9" s="1"/>
  <c r="F102" i="9" s="1"/>
  <c r="F103" i="9" s="1"/>
  <c r="F104" i="9" s="1"/>
  <c r="F105" i="9" s="1"/>
  <c r="F106" i="9" s="1"/>
  <c r="F107" i="9" s="1"/>
  <c r="F108" i="9" s="1"/>
  <c r="F109" i="9" s="1"/>
  <c r="F110" i="9" s="1"/>
  <c r="F111" i="9" s="1"/>
  <c r="F112" i="9" s="1"/>
  <c r="F113" i="9" s="1"/>
  <c r="F114" i="9" s="1"/>
  <c r="F115" i="9" s="1"/>
  <c r="F116" i="9" s="1"/>
  <c r="F117" i="9" s="1"/>
  <c r="F118" i="9" s="1"/>
  <c r="F119" i="9" s="1"/>
  <c r="F120" i="9" s="1"/>
  <c r="F121" i="9" s="1"/>
  <c r="F122" i="9" s="1"/>
  <c r="F123" i="9" s="1"/>
  <c r="F124" i="9" s="1"/>
  <c r="F125" i="9" s="1"/>
  <c r="F126" i="9" s="1"/>
  <c r="F127" i="9" s="1"/>
  <c r="F128" i="9" s="1"/>
  <c r="F129" i="9" s="1"/>
  <c r="F130" i="9" s="1"/>
  <c r="F131" i="9" s="1"/>
  <c r="F132" i="9" s="1"/>
  <c r="F133" i="9" s="1"/>
  <c r="F134" i="9" s="1"/>
  <c r="F135" i="9" s="1"/>
  <c r="F136" i="9" s="1"/>
  <c r="F137" i="9" s="1"/>
  <c r="F138" i="9" s="1"/>
  <c r="F139" i="9" s="1"/>
  <c r="F140" i="9" s="1"/>
  <c r="F141" i="9" s="1"/>
  <c r="F142" i="9" s="1"/>
  <c r="F143" i="9" s="1"/>
  <c r="F144" i="9" s="1"/>
  <c r="F145" i="9" s="1"/>
  <c r="F146" i="9" s="1"/>
  <c r="F147" i="9" s="1"/>
  <c r="F148" i="9" s="1"/>
  <c r="F149" i="9" s="1"/>
  <c r="F150" i="9" s="1"/>
  <c r="F151" i="9" s="1"/>
  <c r="F152" i="9" s="1"/>
  <c r="F153" i="9" s="1"/>
  <c r="F154" i="9" s="1"/>
  <c r="F155" i="9" s="1"/>
  <c r="F156" i="9" s="1"/>
  <c r="F157" i="9" s="1"/>
  <c r="F158" i="9" s="1"/>
  <c r="F159" i="9" s="1"/>
  <c r="F160" i="9" s="1"/>
  <c r="F161" i="9" s="1"/>
  <c r="F162" i="9" s="1"/>
  <c r="F163" i="9" s="1"/>
  <c r="F164" i="9" s="1"/>
  <c r="F165" i="9" s="1"/>
  <c r="AZ114" i="7"/>
  <c r="AX140" i="7"/>
  <c r="L63" i="8" s="1"/>
  <c r="D141" i="7"/>
  <c r="AX141" i="7"/>
  <c r="AX169" i="7" s="1"/>
  <c r="M63" i="11"/>
  <c r="N63" i="11" s="1"/>
  <c r="I77" i="1"/>
  <c r="I77" i="10"/>
  <c r="I77" i="8"/>
  <c r="I77" i="11"/>
  <c r="J53" i="1"/>
  <c r="J55" i="1" s="1"/>
  <c r="J53" i="11"/>
  <c r="J55" i="11" s="1"/>
  <c r="J53" i="10"/>
  <c r="J55" i="10" s="1"/>
  <c r="J53" i="8"/>
  <c r="J55" i="8" s="1"/>
  <c r="L81" i="10"/>
  <c r="N81" i="10" s="1"/>
  <c r="L81" i="11"/>
  <c r="H37" i="1"/>
  <c r="H37" i="11"/>
  <c r="H40" i="11" s="1"/>
  <c r="H48" i="11" s="1"/>
  <c r="H37" i="10"/>
  <c r="H40" i="10" s="1"/>
  <c r="H48" i="10" s="1"/>
  <c r="H37" i="8"/>
  <c r="H40" i="8" s="1"/>
  <c r="H48" i="8" s="1"/>
  <c r="H58" i="1"/>
  <c r="H60" i="1" s="1"/>
  <c r="H58" i="10"/>
  <c r="H60" i="10" s="1"/>
  <c r="H58" i="11"/>
  <c r="H60" i="11" s="1"/>
  <c r="H58" i="8"/>
  <c r="H60" i="8" s="1"/>
  <c r="I59" i="1"/>
  <c r="I59" i="11"/>
  <c r="I59" i="8"/>
  <c r="I59" i="10"/>
  <c r="I67" i="1"/>
  <c r="I67" i="8"/>
  <c r="I67" i="10"/>
  <c r="I67" i="11"/>
  <c r="I75" i="11" s="1"/>
  <c r="L67" i="1"/>
  <c r="L67" i="11"/>
  <c r="L67" i="8"/>
  <c r="L67" i="10"/>
  <c r="M53" i="1"/>
  <c r="M55" i="1" s="1"/>
  <c r="M53" i="8"/>
  <c r="M55" i="8" s="1"/>
  <c r="M53" i="11"/>
  <c r="M55" i="11" s="1"/>
  <c r="M53" i="10"/>
  <c r="M55" i="10" s="1"/>
  <c r="M28" i="1"/>
  <c r="M28" i="10"/>
  <c r="M28" i="11"/>
  <c r="M28" i="8"/>
  <c r="J28" i="1"/>
  <c r="J28" i="11"/>
  <c r="J28" i="8"/>
  <c r="J28" i="10"/>
  <c r="L79" i="1"/>
  <c r="L79" i="8"/>
  <c r="L79" i="11"/>
  <c r="L79" i="10"/>
  <c r="M67" i="1"/>
  <c r="M67" i="8"/>
  <c r="M67" i="11"/>
  <c r="M67" i="10"/>
  <c r="M77" i="1"/>
  <c r="M77" i="8"/>
  <c r="M77" i="10"/>
  <c r="M77" i="11"/>
  <c r="L64" i="1"/>
  <c r="L64" i="8"/>
  <c r="F39" i="2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L59" i="1"/>
  <c r="L59" i="10"/>
  <c r="L59" i="11"/>
  <c r="L59" i="8"/>
  <c r="M30" i="1"/>
  <c r="M30" i="10"/>
  <c r="M30" i="8"/>
  <c r="M30" i="11"/>
  <c r="H82" i="10"/>
  <c r="H82" i="8"/>
  <c r="H82" i="11"/>
  <c r="L53" i="1"/>
  <c r="L55" i="1" s="1"/>
  <c r="L53" i="10"/>
  <c r="L55" i="10" s="1"/>
  <c r="L53" i="8"/>
  <c r="L55" i="8" s="1"/>
  <c r="L53" i="11"/>
  <c r="L55" i="11" s="1"/>
  <c r="M59" i="1"/>
  <c r="N59" i="1" s="1"/>
  <c r="M59" i="11"/>
  <c r="M59" i="10"/>
  <c r="M59" i="8"/>
  <c r="H81" i="8"/>
  <c r="H81" i="10"/>
  <c r="H81" i="11"/>
  <c r="J67" i="1"/>
  <c r="N67" i="1" s="1"/>
  <c r="J67" i="10"/>
  <c r="J67" i="8"/>
  <c r="J67" i="11"/>
  <c r="J75" i="11" s="1"/>
  <c r="J59" i="1"/>
  <c r="J60" i="1" s="1"/>
  <c r="J59" i="8"/>
  <c r="J60" i="8" s="1"/>
  <c r="J59" i="10"/>
  <c r="J60" i="10" s="1"/>
  <c r="J59" i="11"/>
  <c r="J60" i="11" s="1"/>
  <c r="L77" i="1"/>
  <c r="L77" i="11"/>
  <c r="L77" i="8"/>
  <c r="L77" i="10"/>
  <c r="H79" i="1"/>
  <c r="H79" i="8"/>
  <c r="H79" i="10"/>
  <c r="H79" i="11"/>
  <c r="H40" i="1"/>
  <c r="H48" i="1" s="1"/>
  <c r="I53" i="1"/>
  <c r="I55" i="1" s="1"/>
  <c r="I53" i="11"/>
  <c r="I53" i="8"/>
  <c r="I55" i="8" s="1"/>
  <c r="I53" i="10"/>
  <c r="I55" i="10" s="1"/>
  <c r="I28" i="1"/>
  <c r="I35" i="1" s="1"/>
  <c r="I28" i="10"/>
  <c r="I28" i="8"/>
  <c r="I28" i="11"/>
  <c r="J77" i="1"/>
  <c r="J77" i="8"/>
  <c r="J77" i="11"/>
  <c r="J77" i="10"/>
  <c r="L28" i="1"/>
  <c r="L28" i="8"/>
  <c r="L28" i="10"/>
  <c r="L28" i="11"/>
  <c r="L35" i="11" s="1"/>
  <c r="M58" i="1"/>
  <c r="M60" i="1" s="1"/>
  <c r="M58" i="11"/>
  <c r="M58" i="8"/>
  <c r="M58" i="10"/>
  <c r="M60" i="10" s="1"/>
  <c r="L37" i="1"/>
  <c r="L37" i="10"/>
  <c r="L37" i="8"/>
  <c r="L37" i="11"/>
  <c r="I30" i="1"/>
  <c r="N30" i="1" s="1"/>
  <c r="I30" i="11"/>
  <c r="I30" i="10"/>
  <c r="I30" i="8"/>
  <c r="J30" i="1"/>
  <c r="J35" i="1" s="1"/>
  <c r="J30" i="8"/>
  <c r="J30" i="10"/>
  <c r="J30" i="11"/>
  <c r="L30" i="1"/>
  <c r="L30" i="11"/>
  <c r="L30" i="10"/>
  <c r="L30" i="8"/>
  <c r="K60" i="11"/>
  <c r="M37" i="1"/>
  <c r="M37" i="11"/>
  <c r="M37" i="10"/>
  <c r="M37" i="8"/>
  <c r="L58" i="1"/>
  <c r="L58" i="11"/>
  <c r="L58" i="8"/>
  <c r="L58" i="10"/>
  <c r="L60" i="10" s="1"/>
  <c r="H64" i="1"/>
  <c r="H64" i="8"/>
  <c r="I60" i="11"/>
  <c r="N58" i="11"/>
  <c r="I81" i="10"/>
  <c r="I81" i="11"/>
  <c r="F59" i="7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H61" i="11"/>
  <c r="W86" i="12"/>
  <c r="W106" i="12"/>
  <c r="AZ75" i="12"/>
  <c r="AD106" i="12"/>
  <c r="AD86" i="12"/>
  <c r="AQ82" i="9"/>
  <c r="AQ100" i="9"/>
  <c r="I38" i="11"/>
  <c r="I38" i="8"/>
  <c r="I38" i="1"/>
  <c r="I38" i="10"/>
  <c r="I90" i="11"/>
  <c r="I96" i="11" s="1"/>
  <c r="I90" i="10"/>
  <c r="I96" i="10" s="1"/>
  <c r="I90" i="8"/>
  <c r="I96" i="8" s="1"/>
  <c r="I90" i="1"/>
  <c r="I96" i="1" s="1"/>
  <c r="AD102" i="7"/>
  <c r="AD84" i="7"/>
  <c r="AQ106" i="12"/>
  <c r="AQ86" i="12"/>
  <c r="AR102" i="7"/>
  <c r="AR84" i="7"/>
  <c r="I26" i="11"/>
  <c r="AR100" i="9"/>
  <c r="AR82" i="9"/>
  <c r="W102" i="7"/>
  <c r="W84" i="7"/>
  <c r="AZ72" i="7"/>
  <c r="AD100" i="9"/>
  <c r="AD82" i="9"/>
  <c r="AQ102" i="7"/>
  <c r="AQ84" i="7"/>
  <c r="AD101" i="2"/>
  <c r="AD83" i="2"/>
  <c r="AR101" i="2"/>
  <c r="AR83" i="2"/>
  <c r="J98" i="14" s="1"/>
  <c r="Y100" i="9"/>
  <c r="Y82" i="9"/>
  <c r="AA106" i="12"/>
  <c r="AA86" i="12"/>
  <c r="I26" i="8"/>
  <c r="W100" i="9"/>
  <c r="W82" i="9"/>
  <c r="AZ71" i="9"/>
  <c r="AQ83" i="2"/>
  <c r="AQ101" i="2"/>
  <c r="Y86" i="12"/>
  <c r="Y106" i="12"/>
  <c r="AA100" i="9"/>
  <c r="AA82" i="9"/>
  <c r="J20" i="10" s="1"/>
  <c r="Y84" i="7"/>
  <c r="Y102" i="7"/>
  <c r="AA102" i="7"/>
  <c r="AA84" i="7"/>
  <c r="J20" i="8" s="1"/>
  <c r="J26" i="8" s="1"/>
  <c r="AR86" i="12"/>
  <c r="AR106" i="12"/>
  <c r="I39" i="11"/>
  <c r="I39" i="1"/>
  <c r="I39" i="8"/>
  <c r="I39" i="10"/>
  <c r="AY72" i="2"/>
  <c r="W101" i="2"/>
  <c r="H55" i="1"/>
  <c r="K30" i="1"/>
  <c r="K30" i="8"/>
  <c r="K30" i="10"/>
  <c r="N30" i="10" s="1"/>
  <c r="K77" i="1"/>
  <c r="K77" i="8"/>
  <c r="K77" i="10"/>
  <c r="K28" i="1"/>
  <c r="K28" i="10"/>
  <c r="K28" i="8"/>
  <c r="K79" i="1"/>
  <c r="K79" i="10"/>
  <c r="N79" i="10" s="1"/>
  <c r="K79" i="8"/>
  <c r="N79" i="8" s="1"/>
  <c r="K64" i="1"/>
  <c r="K64" i="8"/>
  <c r="K67" i="1"/>
  <c r="K67" i="10"/>
  <c r="N67" i="10" s="1"/>
  <c r="K67" i="8"/>
  <c r="K59" i="1"/>
  <c r="K59" i="8"/>
  <c r="K59" i="10"/>
  <c r="N59" i="10" s="1"/>
  <c r="K58" i="1"/>
  <c r="K58" i="10"/>
  <c r="K58" i="8"/>
  <c r="K60" i="8" s="1"/>
  <c r="K37" i="1"/>
  <c r="K37" i="8"/>
  <c r="K37" i="10"/>
  <c r="K53" i="1"/>
  <c r="K55" i="1" s="1"/>
  <c r="K53" i="10"/>
  <c r="K55" i="10" s="1"/>
  <c r="K53" i="8"/>
  <c r="K55" i="8" s="1"/>
  <c r="I68" i="1"/>
  <c r="H68" i="1" s="1"/>
  <c r="H75" i="1" s="1"/>
  <c r="I68" i="8"/>
  <c r="H68" i="8" s="1"/>
  <c r="I68" i="10"/>
  <c r="K68" i="1"/>
  <c r="K68" i="8"/>
  <c r="K68" i="10"/>
  <c r="I82" i="1"/>
  <c r="I82" i="10"/>
  <c r="I82" i="8"/>
  <c r="I58" i="1"/>
  <c r="I58" i="8"/>
  <c r="I58" i="10"/>
  <c r="H55" i="10"/>
  <c r="I37" i="1"/>
  <c r="I37" i="10"/>
  <c r="I37" i="8"/>
  <c r="J82" i="1"/>
  <c r="J82" i="10"/>
  <c r="J82" i="8"/>
  <c r="J37" i="1"/>
  <c r="J37" i="10"/>
  <c r="J37" i="8"/>
  <c r="H55" i="8"/>
  <c r="J68" i="1"/>
  <c r="J68" i="10"/>
  <c r="J75" i="10" s="1"/>
  <c r="J68" i="8"/>
  <c r="I64" i="1"/>
  <c r="I64" i="8"/>
  <c r="J64" i="1"/>
  <c r="J64" i="8"/>
  <c r="J75" i="8" s="1"/>
  <c r="C164" i="9"/>
  <c r="M81" i="1"/>
  <c r="M81" i="8"/>
  <c r="L81" i="1"/>
  <c r="L81" i="8"/>
  <c r="K81" i="1"/>
  <c r="K81" i="8"/>
  <c r="J81" i="1"/>
  <c r="J81" i="8"/>
  <c r="I81" i="1"/>
  <c r="I81" i="8"/>
  <c r="AZ149" i="7"/>
  <c r="D149" i="7"/>
  <c r="C157" i="7"/>
  <c r="B35" i="1"/>
  <c r="N83" i="1"/>
  <c r="G35" i="1"/>
  <c r="N34" i="1"/>
  <c r="D40" i="1"/>
  <c r="B55" i="1"/>
  <c r="I26" i="1"/>
  <c r="E26" i="1"/>
  <c r="E40" i="1"/>
  <c r="E48" i="1" s="1"/>
  <c r="D55" i="1"/>
  <c r="N54" i="1"/>
  <c r="D60" i="1"/>
  <c r="C75" i="1"/>
  <c r="N65" i="1"/>
  <c r="D75" i="1"/>
  <c r="N74" i="1"/>
  <c r="N94" i="1"/>
  <c r="M64" i="1"/>
  <c r="AW167" i="2"/>
  <c r="L60" i="1"/>
  <c r="H96" i="1"/>
  <c r="N89" i="1"/>
  <c r="N9" i="1"/>
  <c r="F26" i="1"/>
  <c r="N24" i="1"/>
  <c r="G26" i="1"/>
  <c r="D35" i="1"/>
  <c r="H35" i="1"/>
  <c r="N42" i="1"/>
  <c r="N43" i="1"/>
  <c r="D47" i="1"/>
  <c r="E55" i="1"/>
  <c r="N57" i="1"/>
  <c r="G60" i="1"/>
  <c r="G75" i="1"/>
  <c r="E96" i="1"/>
  <c r="N88" i="1"/>
  <c r="E35" i="1"/>
  <c r="B40" i="1"/>
  <c r="F40" i="1"/>
  <c r="C47" i="1"/>
  <c r="B47" i="1"/>
  <c r="G55" i="1"/>
  <c r="F60" i="1"/>
  <c r="E75" i="1"/>
  <c r="N71" i="1"/>
  <c r="N73" i="1"/>
  <c r="D84" i="1"/>
  <c r="E84" i="1"/>
  <c r="N87" i="1"/>
  <c r="F96" i="1"/>
  <c r="N92" i="1"/>
  <c r="G84" i="1"/>
  <c r="E15" i="1"/>
  <c r="E16" i="1" s="1"/>
  <c r="N12" i="1"/>
  <c r="D26" i="1"/>
  <c r="F35" i="1"/>
  <c r="N29" i="1"/>
  <c r="N31" i="1"/>
  <c r="N33" i="1"/>
  <c r="N45" i="1"/>
  <c r="N52" i="1"/>
  <c r="E60" i="1"/>
  <c r="B75" i="1"/>
  <c r="F75" i="1"/>
  <c r="F85" i="1" s="1"/>
  <c r="N66" i="1"/>
  <c r="N69" i="1"/>
  <c r="N72" i="1"/>
  <c r="C96" i="1"/>
  <c r="G96" i="1"/>
  <c r="N95" i="1"/>
  <c r="H81" i="1"/>
  <c r="H82" i="1"/>
  <c r="J61" i="1"/>
  <c r="U167" i="2"/>
  <c r="AB167" i="2"/>
  <c r="V167" i="2"/>
  <c r="Z167" i="2"/>
  <c r="X167" i="2"/>
  <c r="AF167" i="2"/>
  <c r="AC167" i="2"/>
  <c r="AO167" i="2"/>
  <c r="AN167" i="2"/>
  <c r="AM167" i="2"/>
  <c r="Y157" i="2"/>
  <c r="Y166" i="2" s="1"/>
  <c r="Y138" i="2"/>
  <c r="AA157" i="2"/>
  <c r="AA166" i="2" s="1"/>
  <c r="M20" i="1" s="1"/>
  <c r="M26" i="1" s="1"/>
  <c r="AA138" i="2"/>
  <c r="L20" i="1" s="1"/>
  <c r="L26" i="1" s="1"/>
  <c r="B14" i="1"/>
  <c r="N13" i="1"/>
  <c r="N47" i="1"/>
  <c r="N7" i="1"/>
  <c r="G15" i="1"/>
  <c r="G16" i="1" s="1"/>
  <c r="C14" i="1"/>
  <c r="C15" i="1" s="1"/>
  <c r="C16" i="1" s="1"/>
  <c r="F61" i="1"/>
  <c r="F14" i="1"/>
  <c r="F15" i="1" s="1"/>
  <c r="F16" i="1" s="1"/>
  <c r="D14" i="1"/>
  <c r="D15" i="1" s="1"/>
  <c r="D16" i="1" s="1"/>
  <c r="N22" i="1"/>
  <c r="N44" i="1"/>
  <c r="C60" i="1"/>
  <c r="C61" i="1" s="1"/>
  <c r="B84" i="1"/>
  <c r="B85" i="1" s="1"/>
  <c r="C35" i="1"/>
  <c r="B60" i="1"/>
  <c r="B96" i="1"/>
  <c r="C26" i="1"/>
  <c r="N51" i="1"/>
  <c r="C84" i="1"/>
  <c r="P60" i="14" l="1"/>
  <c r="K77" i="14"/>
  <c r="J87" i="14"/>
  <c r="N81" i="14"/>
  <c r="P61" i="14"/>
  <c r="N79" i="14"/>
  <c r="K63" i="14"/>
  <c r="S62" i="14"/>
  <c r="K62" i="14"/>
  <c r="P83" i="14"/>
  <c r="P81" i="14"/>
  <c r="S81" i="14"/>
  <c r="N60" i="14"/>
  <c r="N49" i="14"/>
  <c r="S49" i="14"/>
  <c r="S37" i="14"/>
  <c r="S60" i="14"/>
  <c r="S40" i="14"/>
  <c r="I57" i="14"/>
  <c r="I63" i="14" s="1"/>
  <c r="N53" i="14"/>
  <c r="P53" i="14"/>
  <c r="N55" i="14"/>
  <c r="AD148" i="13"/>
  <c r="AD128" i="13"/>
  <c r="P65" i="14"/>
  <c r="N65" i="14"/>
  <c r="H50" i="14"/>
  <c r="L68" i="11"/>
  <c r="L75" i="11" s="1"/>
  <c r="L70" i="14"/>
  <c r="L77" i="14" s="1"/>
  <c r="N59" i="8"/>
  <c r="N28" i="1"/>
  <c r="J20" i="11"/>
  <c r="J26" i="11" s="1"/>
  <c r="J26" i="14"/>
  <c r="F141" i="7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L60" i="8"/>
  <c r="L61" i="8" s="1"/>
  <c r="N37" i="11"/>
  <c r="AQ180" i="13"/>
  <c r="AQ189" i="13" s="1"/>
  <c r="AQ190" i="13" s="1"/>
  <c r="AQ157" i="13"/>
  <c r="Y94" i="13"/>
  <c r="Y118" i="13"/>
  <c r="BE83" i="13"/>
  <c r="J40" i="14"/>
  <c r="N83" i="14"/>
  <c r="P55" i="14"/>
  <c r="N37" i="14"/>
  <c r="F80" i="13"/>
  <c r="F81" i="13" s="1"/>
  <c r="F82" i="13" s="1"/>
  <c r="F83" i="13" s="1"/>
  <c r="F84" i="13" s="1"/>
  <c r="F85" i="13" s="1"/>
  <c r="F86" i="13" s="1"/>
  <c r="F87" i="13" s="1"/>
  <c r="F88" i="13" s="1"/>
  <c r="F89" i="13" s="1"/>
  <c r="F90" i="13" s="1"/>
  <c r="F91" i="13" s="1"/>
  <c r="F92" i="13" s="1"/>
  <c r="F93" i="13" s="1"/>
  <c r="F94" i="13" s="1"/>
  <c r="F95" i="13" s="1"/>
  <c r="F96" i="13" s="1"/>
  <c r="F97" i="13" s="1"/>
  <c r="F98" i="13" s="1"/>
  <c r="F99" i="13" s="1"/>
  <c r="F100" i="13" s="1"/>
  <c r="F101" i="13" s="1"/>
  <c r="F102" i="13" s="1"/>
  <c r="F103" i="13" s="1"/>
  <c r="F104" i="13" s="1"/>
  <c r="F105" i="13" s="1"/>
  <c r="F106" i="13" s="1"/>
  <c r="F107" i="13" s="1"/>
  <c r="F108" i="13" s="1"/>
  <c r="F109" i="13" s="1"/>
  <c r="F110" i="13" s="1"/>
  <c r="F111" i="13" s="1"/>
  <c r="F112" i="13" s="1"/>
  <c r="F113" i="13" s="1"/>
  <c r="F114" i="13" s="1"/>
  <c r="F115" i="13" s="1"/>
  <c r="F116" i="13" s="1"/>
  <c r="F117" i="13" s="1"/>
  <c r="M68" i="11"/>
  <c r="M75" i="11" s="1"/>
  <c r="M70" i="14"/>
  <c r="M77" i="14" s="1"/>
  <c r="N81" i="11"/>
  <c r="L60" i="11"/>
  <c r="N60" i="11" s="1"/>
  <c r="M60" i="8"/>
  <c r="J84" i="11"/>
  <c r="M35" i="10"/>
  <c r="AR180" i="13"/>
  <c r="AR189" i="13" s="1"/>
  <c r="AR190" i="13" s="1"/>
  <c r="AR157" i="13"/>
  <c r="W180" i="13"/>
  <c r="W157" i="13"/>
  <c r="K35" i="14"/>
  <c r="N35" i="14" s="1"/>
  <c r="AA180" i="13"/>
  <c r="AA189" i="13" s="1"/>
  <c r="AA157" i="13"/>
  <c r="I26" i="14"/>
  <c r="S26" i="14" s="1"/>
  <c r="P62" i="14"/>
  <c r="N62" i="14"/>
  <c r="D85" i="1"/>
  <c r="E85" i="1"/>
  <c r="E97" i="1" s="1"/>
  <c r="E98" i="1" s="1"/>
  <c r="E99" i="1" s="1"/>
  <c r="D61" i="1"/>
  <c r="J84" i="10"/>
  <c r="N67" i="8"/>
  <c r="I84" i="11"/>
  <c r="I85" i="11" s="1"/>
  <c r="M35" i="1"/>
  <c r="J61" i="10"/>
  <c r="N28" i="14"/>
  <c r="K35" i="11"/>
  <c r="H63" i="14"/>
  <c r="S70" i="14"/>
  <c r="N69" i="14"/>
  <c r="F59" i="12"/>
  <c r="F60" i="12" s="1"/>
  <c r="F61" i="12" s="1"/>
  <c r="F62" i="12" s="1"/>
  <c r="F63" i="12" s="1"/>
  <c r="F64" i="12" s="1"/>
  <c r="F65" i="12" s="1"/>
  <c r="F66" i="12" s="1"/>
  <c r="F67" i="12" s="1"/>
  <c r="F68" i="12" s="1"/>
  <c r="F69" i="12" s="1"/>
  <c r="F70" i="12" s="1"/>
  <c r="F71" i="12" s="1"/>
  <c r="F72" i="12" s="1"/>
  <c r="F73" i="12" s="1"/>
  <c r="F74" i="12" s="1"/>
  <c r="F75" i="12" s="1"/>
  <c r="F76" i="12" s="1"/>
  <c r="F77" i="12" s="1"/>
  <c r="F78" i="12" s="1"/>
  <c r="F79" i="12" s="1"/>
  <c r="F80" i="12" s="1"/>
  <c r="F81" i="12" s="1"/>
  <c r="F82" i="12" s="1"/>
  <c r="F83" i="12" s="1"/>
  <c r="F84" i="12" s="1"/>
  <c r="F85" i="12" s="1"/>
  <c r="F86" i="12" s="1"/>
  <c r="F87" i="12" s="1"/>
  <c r="F88" i="12" s="1"/>
  <c r="F89" i="12" s="1"/>
  <c r="AZ141" i="7"/>
  <c r="AX170" i="7"/>
  <c r="M63" i="8"/>
  <c r="N63" i="8" s="1"/>
  <c r="J85" i="11"/>
  <c r="I35" i="11"/>
  <c r="N28" i="11"/>
  <c r="N79" i="1"/>
  <c r="N77" i="10"/>
  <c r="N30" i="8"/>
  <c r="L35" i="10"/>
  <c r="I35" i="8"/>
  <c r="N79" i="11"/>
  <c r="H84" i="11"/>
  <c r="L61" i="11"/>
  <c r="F59" i="2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J35" i="10"/>
  <c r="M35" i="8"/>
  <c r="M61" i="10"/>
  <c r="N67" i="11"/>
  <c r="J61" i="11"/>
  <c r="I60" i="1"/>
  <c r="I61" i="1" s="1"/>
  <c r="N77" i="8"/>
  <c r="N30" i="11"/>
  <c r="M60" i="11"/>
  <c r="L35" i="8"/>
  <c r="I35" i="10"/>
  <c r="I55" i="11"/>
  <c r="N55" i="11" s="1"/>
  <c r="N53" i="11"/>
  <c r="H84" i="10"/>
  <c r="J35" i="8"/>
  <c r="M35" i="11"/>
  <c r="M61" i="11"/>
  <c r="N77" i="1"/>
  <c r="L35" i="1"/>
  <c r="H84" i="8"/>
  <c r="L61" i="10"/>
  <c r="J35" i="11"/>
  <c r="M61" i="8"/>
  <c r="N59" i="11"/>
  <c r="J61" i="8"/>
  <c r="N77" i="11"/>
  <c r="K60" i="1"/>
  <c r="N53" i="8"/>
  <c r="K75" i="8"/>
  <c r="M61" i="1"/>
  <c r="H61" i="1"/>
  <c r="I61" i="11"/>
  <c r="N61" i="11" s="1"/>
  <c r="I40" i="1"/>
  <c r="I40" i="11"/>
  <c r="J90" i="11"/>
  <c r="J96" i="11" s="1"/>
  <c r="J90" i="1"/>
  <c r="J96" i="1" s="1"/>
  <c r="J90" i="10"/>
  <c r="J96" i="10" s="1"/>
  <c r="J90" i="8"/>
  <c r="J96" i="8" s="1"/>
  <c r="AZ100" i="9"/>
  <c r="AR127" i="9"/>
  <c r="AR110" i="9"/>
  <c r="AR130" i="7"/>
  <c r="AR113" i="7"/>
  <c r="AD130" i="7"/>
  <c r="AD113" i="7"/>
  <c r="AD135" i="12"/>
  <c r="AD116" i="12"/>
  <c r="W129" i="2"/>
  <c r="AY101" i="2"/>
  <c r="W112" i="2"/>
  <c r="K84" i="14" s="1"/>
  <c r="K87" i="14" s="1"/>
  <c r="J26" i="10"/>
  <c r="AQ129" i="2"/>
  <c r="AQ112" i="2"/>
  <c r="K39" i="14" s="1"/>
  <c r="W110" i="9"/>
  <c r="W127" i="9"/>
  <c r="AA135" i="12"/>
  <c r="AA116" i="12"/>
  <c r="AR129" i="2"/>
  <c r="AR112" i="2"/>
  <c r="K92" i="14" s="1"/>
  <c r="AQ113" i="7"/>
  <c r="AQ130" i="7"/>
  <c r="AQ127" i="9"/>
  <c r="AQ110" i="9"/>
  <c r="AA113" i="7"/>
  <c r="K20" i="8" s="1"/>
  <c r="AA130" i="7"/>
  <c r="AA127" i="9"/>
  <c r="AA110" i="9"/>
  <c r="K20" i="10" s="1"/>
  <c r="K26" i="10" s="1"/>
  <c r="J39" i="11"/>
  <c r="J39" i="8"/>
  <c r="J39" i="1"/>
  <c r="J39" i="10"/>
  <c r="J38" i="11"/>
  <c r="J40" i="11" s="1"/>
  <c r="J48" i="11" s="1"/>
  <c r="J38" i="1"/>
  <c r="J38" i="10"/>
  <c r="J38" i="8"/>
  <c r="W130" i="7"/>
  <c r="AZ102" i="7"/>
  <c r="W113" i="7"/>
  <c r="I48" i="11"/>
  <c r="AQ135" i="12"/>
  <c r="AQ116" i="12"/>
  <c r="W135" i="12"/>
  <c r="W116" i="12"/>
  <c r="J40" i="10"/>
  <c r="AZ106" i="12"/>
  <c r="AR135" i="12"/>
  <c r="AR116" i="12"/>
  <c r="Y113" i="7"/>
  <c r="Y130" i="7"/>
  <c r="Y135" i="12"/>
  <c r="Y116" i="12"/>
  <c r="Y127" i="9"/>
  <c r="Y110" i="9"/>
  <c r="AD129" i="2"/>
  <c r="AD112" i="2"/>
  <c r="K38" i="14" s="1"/>
  <c r="AD127" i="9"/>
  <c r="AD110" i="9"/>
  <c r="N68" i="11"/>
  <c r="H75" i="11"/>
  <c r="H85" i="11" s="1"/>
  <c r="J84" i="1"/>
  <c r="N37" i="1"/>
  <c r="I84" i="1"/>
  <c r="J75" i="1"/>
  <c r="K75" i="1"/>
  <c r="I48" i="1"/>
  <c r="N58" i="1"/>
  <c r="N53" i="1"/>
  <c r="K60" i="10"/>
  <c r="K61" i="10" s="1"/>
  <c r="K61" i="1"/>
  <c r="K35" i="10"/>
  <c r="N28" i="10"/>
  <c r="N53" i="10"/>
  <c r="K75" i="10"/>
  <c r="K61" i="8"/>
  <c r="K35" i="8"/>
  <c r="N35" i="8" s="1"/>
  <c r="N28" i="8"/>
  <c r="K35" i="1"/>
  <c r="N35" i="1" s="1"/>
  <c r="J85" i="10"/>
  <c r="N37" i="8"/>
  <c r="I40" i="8"/>
  <c r="I60" i="8"/>
  <c r="N58" i="8"/>
  <c r="H75" i="8"/>
  <c r="M68" i="1"/>
  <c r="M75" i="1" s="1"/>
  <c r="M68" i="8"/>
  <c r="M75" i="8" s="1"/>
  <c r="M68" i="10"/>
  <c r="M75" i="10" s="1"/>
  <c r="J84" i="8"/>
  <c r="J85" i="8" s="1"/>
  <c r="N64" i="8"/>
  <c r="I75" i="8"/>
  <c r="N81" i="1"/>
  <c r="I75" i="1"/>
  <c r="L68" i="1"/>
  <c r="L75" i="1" s="1"/>
  <c r="L68" i="8"/>
  <c r="L75" i="8" s="1"/>
  <c r="L68" i="10"/>
  <c r="L75" i="10" s="1"/>
  <c r="I40" i="10"/>
  <c r="N37" i="10"/>
  <c r="N64" i="1"/>
  <c r="H61" i="8"/>
  <c r="N55" i="8"/>
  <c r="H61" i="10"/>
  <c r="N55" i="10"/>
  <c r="I60" i="10"/>
  <c r="N58" i="10"/>
  <c r="H68" i="10"/>
  <c r="I75" i="10"/>
  <c r="I84" i="10"/>
  <c r="N81" i="8"/>
  <c r="I84" i="8"/>
  <c r="AZ157" i="7"/>
  <c r="D157" i="7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C169" i="7"/>
  <c r="C85" i="1"/>
  <c r="G48" i="1"/>
  <c r="D48" i="1"/>
  <c r="D97" i="1" s="1"/>
  <c r="D98" i="1" s="1"/>
  <c r="D99" i="1" s="1"/>
  <c r="F48" i="1"/>
  <c r="F97" i="1" s="1"/>
  <c r="F98" i="1" s="1"/>
  <c r="F99" i="1" s="1"/>
  <c r="L61" i="1"/>
  <c r="B48" i="1"/>
  <c r="N20" i="1"/>
  <c r="G61" i="1"/>
  <c r="G85" i="1"/>
  <c r="E61" i="1"/>
  <c r="H84" i="1"/>
  <c r="H85" i="1" s="1"/>
  <c r="C48" i="1"/>
  <c r="C97" i="1" s="1"/>
  <c r="C98" i="1" s="1"/>
  <c r="C99" i="1" s="1"/>
  <c r="N55" i="1"/>
  <c r="AA167" i="2"/>
  <c r="Y167" i="2"/>
  <c r="N26" i="1"/>
  <c r="B61" i="1"/>
  <c r="N14" i="1"/>
  <c r="B15" i="1"/>
  <c r="P57" i="14" l="1"/>
  <c r="S86" i="14"/>
  <c r="S63" i="14"/>
  <c r="S57" i="14"/>
  <c r="N57" i="14"/>
  <c r="J50" i="14"/>
  <c r="J99" i="14" s="1"/>
  <c r="J100" i="14" s="1"/>
  <c r="J101" i="14" s="1"/>
  <c r="K40" i="14"/>
  <c r="F118" i="13"/>
  <c r="F119" i="13" s="1"/>
  <c r="F120" i="13" s="1"/>
  <c r="F121" i="13" s="1"/>
  <c r="F122" i="13" s="1"/>
  <c r="F123" i="13" s="1"/>
  <c r="F124" i="13" s="1"/>
  <c r="F125" i="13" s="1"/>
  <c r="F126" i="13" s="1"/>
  <c r="F127" i="13" s="1"/>
  <c r="F128" i="13" s="1"/>
  <c r="F129" i="13" s="1"/>
  <c r="F130" i="13" s="1"/>
  <c r="F131" i="13" s="1"/>
  <c r="F132" i="13" s="1"/>
  <c r="F133" i="13" s="1"/>
  <c r="F134" i="13" s="1"/>
  <c r="F135" i="13" s="1"/>
  <c r="F136" i="13" s="1"/>
  <c r="F137" i="13" s="1"/>
  <c r="F138" i="13" s="1"/>
  <c r="F139" i="13" s="1"/>
  <c r="F140" i="13" s="1"/>
  <c r="F141" i="13" s="1"/>
  <c r="F142" i="13" s="1"/>
  <c r="F143" i="13" s="1"/>
  <c r="F144" i="13" s="1"/>
  <c r="F145" i="13" s="1"/>
  <c r="F146" i="13" s="1"/>
  <c r="F147" i="13" s="1"/>
  <c r="F148" i="13" s="1"/>
  <c r="F149" i="13" s="1"/>
  <c r="F150" i="13" s="1"/>
  <c r="F151" i="13" s="1"/>
  <c r="F152" i="13" s="1"/>
  <c r="F153" i="13" s="1"/>
  <c r="F154" i="13" s="1"/>
  <c r="F155" i="13" s="1"/>
  <c r="F156" i="13" s="1"/>
  <c r="F157" i="13" s="1"/>
  <c r="F158" i="13" s="1"/>
  <c r="F159" i="13" s="1"/>
  <c r="F160" i="13" s="1"/>
  <c r="F161" i="13" s="1"/>
  <c r="F162" i="13" s="1"/>
  <c r="F163" i="13" s="1"/>
  <c r="F164" i="13" s="1"/>
  <c r="F165" i="13" s="1"/>
  <c r="F166" i="13" s="1"/>
  <c r="F167" i="13" s="1"/>
  <c r="F168" i="13" s="1"/>
  <c r="F169" i="13" s="1"/>
  <c r="F170" i="13" s="1"/>
  <c r="F171" i="13" s="1"/>
  <c r="F172" i="13" s="1"/>
  <c r="F173" i="13" s="1"/>
  <c r="F174" i="13" s="1"/>
  <c r="F175" i="13" s="1"/>
  <c r="F176" i="13" s="1"/>
  <c r="F177" i="13" s="1"/>
  <c r="F178" i="13" s="1"/>
  <c r="F179" i="13" s="1"/>
  <c r="F180" i="13" s="1"/>
  <c r="F181" i="13" s="1"/>
  <c r="F182" i="13" s="1"/>
  <c r="F183" i="13" s="1"/>
  <c r="F184" i="13" s="1"/>
  <c r="F185" i="13" s="1"/>
  <c r="F186" i="13" s="1"/>
  <c r="F187" i="13" s="1"/>
  <c r="F188" i="13" s="1"/>
  <c r="F189" i="13" s="1"/>
  <c r="F190" i="13" s="1"/>
  <c r="I50" i="14"/>
  <c r="S50" i="14" s="1"/>
  <c r="AD180" i="13"/>
  <c r="AD189" i="13" s="1"/>
  <c r="AD157" i="13"/>
  <c r="N60" i="1"/>
  <c r="N35" i="10"/>
  <c r="K98" i="14"/>
  <c r="N35" i="11"/>
  <c r="Y128" i="13"/>
  <c r="Y148" i="13"/>
  <c r="BE118" i="13"/>
  <c r="B97" i="1"/>
  <c r="G97" i="1"/>
  <c r="G98" i="1" s="1"/>
  <c r="G99" i="1" s="1"/>
  <c r="N70" i="14"/>
  <c r="H77" i="14"/>
  <c r="S77" i="14" s="1"/>
  <c r="N63" i="14"/>
  <c r="P63" i="14"/>
  <c r="AA190" i="13"/>
  <c r="W189" i="13"/>
  <c r="K20" i="11"/>
  <c r="K26" i="11" s="1"/>
  <c r="K20" i="14"/>
  <c r="K26" i="14" s="1"/>
  <c r="K50" i="14" s="1"/>
  <c r="P70" i="14"/>
  <c r="I87" i="14"/>
  <c r="F90" i="12"/>
  <c r="F91" i="12" s="1"/>
  <c r="F92" i="12" s="1"/>
  <c r="F93" i="12" s="1"/>
  <c r="F94" i="12" s="1"/>
  <c r="F95" i="12" s="1"/>
  <c r="F96" i="12" s="1"/>
  <c r="F97" i="12" s="1"/>
  <c r="F98" i="12" s="1"/>
  <c r="F99" i="12" s="1"/>
  <c r="F100" i="12" s="1"/>
  <c r="F101" i="12" s="1"/>
  <c r="F102" i="12" s="1"/>
  <c r="F103" i="12" s="1"/>
  <c r="F104" i="12" s="1"/>
  <c r="F105" i="12" s="1"/>
  <c r="F106" i="12" s="1"/>
  <c r="F107" i="12" s="1"/>
  <c r="F108" i="12" s="1"/>
  <c r="F109" i="12" s="1"/>
  <c r="F110" i="12" s="1"/>
  <c r="F111" i="12" s="1"/>
  <c r="F112" i="12" s="1"/>
  <c r="F113" i="12" s="1"/>
  <c r="F114" i="12" s="1"/>
  <c r="F115" i="12" s="1"/>
  <c r="F116" i="12" s="1"/>
  <c r="F117" i="12" s="1"/>
  <c r="F118" i="12" s="1"/>
  <c r="F119" i="12" s="1"/>
  <c r="J48" i="10"/>
  <c r="J97" i="10" s="1"/>
  <c r="J98" i="10" s="1"/>
  <c r="J99" i="10" s="1"/>
  <c r="J97" i="11"/>
  <c r="J98" i="11" s="1"/>
  <c r="J99" i="11" s="1"/>
  <c r="F97" i="2"/>
  <c r="F98" i="2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J40" i="1"/>
  <c r="J48" i="1" s="1"/>
  <c r="I97" i="11"/>
  <c r="I98" i="11" s="1"/>
  <c r="I99" i="11" s="1"/>
  <c r="J40" i="8"/>
  <c r="J48" i="8" s="1"/>
  <c r="J97" i="8" s="1"/>
  <c r="J98" i="8" s="1"/>
  <c r="J99" i="8" s="1"/>
  <c r="J85" i="1"/>
  <c r="AD157" i="2"/>
  <c r="AD166" i="2" s="1"/>
  <c r="M38" i="14" s="1"/>
  <c r="AD138" i="2"/>
  <c r="L38" i="14" s="1"/>
  <c r="AQ159" i="7"/>
  <c r="AQ169" i="7" s="1"/>
  <c r="AQ140" i="7"/>
  <c r="K39" i="11"/>
  <c r="K39" i="1"/>
  <c r="K39" i="8"/>
  <c r="K39" i="10"/>
  <c r="K82" i="11"/>
  <c r="K84" i="11" s="1"/>
  <c r="K85" i="11" s="1"/>
  <c r="K82" i="10"/>
  <c r="K84" i="10" s="1"/>
  <c r="K85" i="10" s="1"/>
  <c r="K82" i="8"/>
  <c r="K84" i="8" s="1"/>
  <c r="K85" i="8" s="1"/>
  <c r="K82" i="1"/>
  <c r="K84" i="1" s="1"/>
  <c r="K85" i="1" s="1"/>
  <c r="AD165" i="12"/>
  <c r="AD174" i="12" s="1"/>
  <c r="AD144" i="12"/>
  <c r="AR159" i="7"/>
  <c r="AR169" i="7" s="1"/>
  <c r="AR140" i="7"/>
  <c r="Y165" i="12"/>
  <c r="Y174" i="12" s="1"/>
  <c r="Y144" i="12"/>
  <c r="AZ135" i="12"/>
  <c r="AR165" i="12"/>
  <c r="AR174" i="12" s="1"/>
  <c r="AR144" i="12"/>
  <c r="AA136" i="9"/>
  <c r="L20" i="10" s="1"/>
  <c r="L26" i="10" s="1"/>
  <c r="AA155" i="9"/>
  <c r="AA164" i="9" s="1"/>
  <c r="AA144" i="12"/>
  <c r="AA165" i="12"/>
  <c r="AA174" i="12" s="1"/>
  <c r="M20" i="14" s="1"/>
  <c r="M26" i="14" s="1"/>
  <c r="AQ157" i="2"/>
  <c r="AQ166" i="2" s="1"/>
  <c r="M39" i="14" s="1"/>
  <c r="AQ138" i="2"/>
  <c r="L39" i="14" s="1"/>
  <c r="N39" i="14" s="1"/>
  <c r="W165" i="12"/>
  <c r="W144" i="12"/>
  <c r="AD155" i="9"/>
  <c r="AD164" i="9" s="1"/>
  <c r="AD136" i="9"/>
  <c r="Y155" i="9"/>
  <c r="Y164" i="9" s="1"/>
  <c r="Y136" i="9"/>
  <c r="Y159" i="7"/>
  <c r="Y169" i="7" s="1"/>
  <c r="Y140" i="7"/>
  <c r="AQ144" i="12"/>
  <c r="AQ165" i="12"/>
  <c r="AQ174" i="12" s="1"/>
  <c r="AA159" i="7"/>
  <c r="AA169" i="7" s="1"/>
  <c r="AA140" i="7"/>
  <c r="L20" i="8" s="1"/>
  <c r="L26" i="8" s="1"/>
  <c r="AQ155" i="9"/>
  <c r="AQ164" i="9" s="1"/>
  <c r="AQ136" i="9"/>
  <c r="K90" i="11"/>
  <c r="K90" i="10"/>
  <c r="K96" i="10" s="1"/>
  <c r="K90" i="8"/>
  <c r="K96" i="8" s="1"/>
  <c r="K90" i="1"/>
  <c r="K96" i="1" s="1"/>
  <c r="W155" i="9"/>
  <c r="W136" i="9"/>
  <c r="W138" i="2"/>
  <c r="L84" i="14" s="1"/>
  <c r="AY129" i="2"/>
  <c r="W157" i="2"/>
  <c r="AD159" i="7"/>
  <c r="AD169" i="7" s="1"/>
  <c r="AD140" i="7"/>
  <c r="AZ127" i="9"/>
  <c r="AR155" i="9"/>
  <c r="AR164" i="9" s="1"/>
  <c r="AR136" i="9"/>
  <c r="K38" i="11"/>
  <c r="K38" i="10"/>
  <c r="K38" i="8"/>
  <c r="K38" i="1"/>
  <c r="AZ130" i="7"/>
  <c r="W159" i="7"/>
  <c r="W140" i="7"/>
  <c r="K26" i="8"/>
  <c r="AR138" i="2"/>
  <c r="L92" i="14" s="1"/>
  <c r="AR157" i="2"/>
  <c r="AR166" i="2" s="1"/>
  <c r="M92" i="14" s="1"/>
  <c r="M98" i="14" s="1"/>
  <c r="N75" i="11"/>
  <c r="H97" i="11"/>
  <c r="N68" i="1"/>
  <c r="I85" i="1"/>
  <c r="I97" i="1" s="1"/>
  <c r="I98" i="1" s="1"/>
  <c r="I99" i="1" s="1"/>
  <c r="I48" i="8"/>
  <c r="H75" i="10"/>
  <c r="N68" i="10"/>
  <c r="I85" i="10"/>
  <c r="I48" i="10"/>
  <c r="H85" i="8"/>
  <c r="H97" i="8" s="1"/>
  <c r="H98" i="8" s="1"/>
  <c r="H99" i="8" s="1"/>
  <c r="N75" i="8"/>
  <c r="N68" i="8"/>
  <c r="N75" i="1"/>
  <c r="I61" i="10"/>
  <c r="N61" i="10" s="1"/>
  <c r="N60" i="10"/>
  <c r="I61" i="8"/>
  <c r="N61" i="8" s="1"/>
  <c r="N60" i="8"/>
  <c r="I85" i="8"/>
  <c r="N61" i="1"/>
  <c r="H97" i="1"/>
  <c r="H98" i="1" s="1"/>
  <c r="H99" i="1" s="1"/>
  <c r="N15" i="1"/>
  <c r="B16" i="1"/>
  <c r="N92" i="14" l="1"/>
  <c r="K99" i="14"/>
  <c r="K100" i="14" s="1"/>
  <c r="K101" i="14" s="1"/>
  <c r="W190" i="13"/>
  <c r="I99" i="14"/>
  <c r="I100" i="14" s="1"/>
  <c r="I101" i="14" s="1"/>
  <c r="L98" i="14"/>
  <c r="N98" i="14" s="1"/>
  <c r="P92" i="14"/>
  <c r="L20" i="11"/>
  <c r="L26" i="11" s="1"/>
  <c r="L20" i="14"/>
  <c r="L26" i="14" s="1"/>
  <c r="N26" i="14" s="1"/>
  <c r="L40" i="14"/>
  <c r="Y180" i="13"/>
  <c r="Y157" i="13"/>
  <c r="BE148" i="13"/>
  <c r="L87" i="14"/>
  <c r="M40" i="14"/>
  <c r="M50" i="14" s="1"/>
  <c r="H87" i="14"/>
  <c r="N77" i="14"/>
  <c r="P77" i="14"/>
  <c r="N38" i="14"/>
  <c r="AD190" i="13"/>
  <c r="F120" i="12"/>
  <c r="F121" i="12" s="1"/>
  <c r="F122" i="12" s="1"/>
  <c r="F123" i="12" s="1"/>
  <c r="F124" i="12" s="1"/>
  <c r="F125" i="12" s="1"/>
  <c r="F126" i="12" s="1"/>
  <c r="F127" i="12" s="1"/>
  <c r="F128" i="12" s="1"/>
  <c r="F129" i="12" s="1"/>
  <c r="F130" i="12" s="1"/>
  <c r="F131" i="12" s="1"/>
  <c r="F132" i="12" s="1"/>
  <c r="F133" i="12" s="1"/>
  <c r="F134" i="12" s="1"/>
  <c r="F135" i="12" s="1"/>
  <c r="F136" i="12" s="1"/>
  <c r="F137" i="12" s="1"/>
  <c r="F138" i="12" s="1"/>
  <c r="F139" i="12" s="1"/>
  <c r="F140" i="12" s="1"/>
  <c r="F141" i="12" s="1"/>
  <c r="F142" i="12" s="1"/>
  <c r="F143" i="12" s="1"/>
  <c r="F144" i="12" s="1"/>
  <c r="F145" i="12" s="1"/>
  <c r="F146" i="12" s="1"/>
  <c r="F147" i="12" s="1"/>
  <c r="J97" i="1"/>
  <c r="J98" i="1" s="1"/>
  <c r="J99" i="1" s="1"/>
  <c r="Y175" i="12"/>
  <c r="AQ165" i="9"/>
  <c r="Y165" i="9"/>
  <c r="K40" i="8"/>
  <c r="K48" i="8" s="1"/>
  <c r="K97" i="8" s="1"/>
  <c r="K98" i="8" s="1"/>
  <c r="K99" i="8" s="1"/>
  <c r="K40" i="10"/>
  <c r="K48" i="10" s="1"/>
  <c r="K97" i="10" s="1"/>
  <c r="K98" i="10" s="1"/>
  <c r="K99" i="10" s="1"/>
  <c r="AD170" i="7"/>
  <c r="AZ159" i="7"/>
  <c r="W169" i="7"/>
  <c r="AR165" i="9"/>
  <c r="W166" i="2"/>
  <c r="M84" i="14" s="1"/>
  <c r="M87" i="14" s="1"/>
  <c r="AY157" i="2"/>
  <c r="W174" i="12"/>
  <c r="AZ165" i="12"/>
  <c r="AR175" i="12"/>
  <c r="AD175" i="12"/>
  <c r="M38" i="11"/>
  <c r="M38" i="1"/>
  <c r="M38" i="10"/>
  <c r="AD167" i="2"/>
  <c r="M38" i="8"/>
  <c r="M90" i="11"/>
  <c r="M96" i="11" s="1"/>
  <c r="M90" i="10"/>
  <c r="M96" i="10" s="1"/>
  <c r="M90" i="8"/>
  <c r="M96" i="8" s="1"/>
  <c r="M90" i="1"/>
  <c r="M96" i="1" s="1"/>
  <c r="AR167" i="2"/>
  <c r="K40" i="11"/>
  <c r="W164" i="9"/>
  <c r="AZ155" i="9"/>
  <c r="K96" i="11"/>
  <c r="M20" i="8"/>
  <c r="AA170" i="7"/>
  <c r="Y170" i="7"/>
  <c r="AD165" i="9"/>
  <c r="L39" i="11"/>
  <c r="L39" i="8"/>
  <c r="L39" i="1"/>
  <c r="L39" i="10"/>
  <c r="M20" i="10"/>
  <c r="AA165" i="9"/>
  <c r="M20" i="11"/>
  <c r="AA175" i="12"/>
  <c r="L38" i="11"/>
  <c r="L40" i="11" s="1"/>
  <c r="L48" i="11" s="1"/>
  <c r="L38" i="1"/>
  <c r="L38" i="10"/>
  <c r="L38" i="8"/>
  <c r="L90" i="11"/>
  <c r="L96" i="11" s="1"/>
  <c r="L90" i="1"/>
  <c r="L90" i="8"/>
  <c r="L96" i="8" s="1"/>
  <c r="L90" i="10"/>
  <c r="K40" i="1"/>
  <c r="L82" i="11"/>
  <c r="L82" i="8"/>
  <c r="L84" i="8" s="1"/>
  <c r="L85" i="8" s="1"/>
  <c r="L82" i="1"/>
  <c r="L84" i="1" s="1"/>
  <c r="L85" i="1" s="1"/>
  <c r="L82" i="10"/>
  <c r="L84" i="10" s="1"/>
  <c r="L85" i="10" s="1"/>
  <c r="AQ175" i="12"/>
  <c r="M39" i="11"/>
  <c r="M39" i="1"/>
  <c r="AQ167" i="2"/>
  <c r="M39" i="10"/>
  <c r="M39" i="8"/>
  <c r="AR170" i="7"/>
  <c r="AQ170" i="7"/>
  <c r="H98" i="11"/>
  <c r="I97" i="10"/>
  <c r="I98" i="10" s="1"/>
  <c r="I99" i="10" s="1"/>
  <c r="H85" i="10"/>
  <c r="N75" i="10"/>
  <c r="I97" i="8"/>
  <c r="B98" i="1"/>
  <c r="N16" i="1"/>
  <c r="P87" i="14" l="1"/>
  <c r="S87" i="14"/>
  <c r="Y189" i="13"/>
  <c r="BE180" i="13"/>
  <c r="P84" i="14"/>
  <c r="N84" i="14"/>
  <c r="P86" i="14"/>
  <c r="N87" i="14"/>
  <c r="H99" i="14"/>
  <c r="S99" i="14" s="1"/>
  <c r="L50" i="14"/>
  <c r="N40" i="14"/>
  <c r="F148" i="12"/>
  <c r="F149" i="12" s="1"/>
  <c r="F150" i="12" s="1"/>
  <c r="F151" i="12" s="1"/>
  <c r="F152" i="12" s="1"/>
  <c r="F153" i="12" s="1"/>
  <c r="F154" i="12" s="1"/>
  <c r="F155" i="12" s="1"/>
  <c r="F156" i="12" s="1"/>
  <c r="F157" i="12" s="1"/>
  <c r="F158" i="12" s="1"/>
  <c r="F159" i="12" s="1"/>
  <c r="F160" i="12" s="1"/>
  <c r="F161" i="12" s="1"/>
  <c r="F162" i="12" s="1"/>
  <c r="F163" i="12" s="1"/>
  <c r="F164" i="12" s="1"/>
  <c r="F165" i="12" s="1"/>
  <c r="F166" i="12" s="1"/>
  <c r="F167" i="12" s="1"/>
  <c r="F168" i="12" s="1"/>
  <c r="F169" i="12" s="1"/>
  <c r="F170" i="12" s="1"/>
  <c r="F171" i="12" s="1"/>
  <c r="F172" i="12" s="1"/>
  <c r="F173" i="12" s="1"/>
  <c r="F174" i="12" s="1"/>
  <c r="F175" i="12" s="1"/>
  <c r="M99" i="14"/>
  <c r="M100" i="14" s="1"/>
  <c r="M101" i="14" s="1"/>
  <c r="N20" i="14"/>
  <c r="N86" i="14"/>
  <c r="N96" i="11"/>
  <c r="N39" i="8"/>
  <c r="N39" i="11"/>
  <c r="N39" i="10"/>
  <c r="N39" i="1"/>
  <c r="M40" i="8"/>
  <c r="M40" i="11"/>
  <c r="L40" i="10"/>
  <c r="N38" i="10"/>
  <c r="K48" i="11"/>
  <c r="N40" i="11"/>
  <c r="M82" i="11"/>
  <c r="M84" i="11" s="1"/>
  <c r="M85" i="11" s="1"/>
  <c r="M82" i="8"/>
  <c r="W167" i="2"/>
  <c r="AY167" i="2" s="1"/>
  <c r="AY168" i="2" s="1"/>
  <c r="M82" i="10"/>
  <c r="M82" i="1"/>
  <c r="M84" i="1" s="1"/>
  <c r="M85" i="1" s="1"/>
  <c r="T166" i="2"/>
  <c r="T167" i="2" s="1"/>
  <c r="K48" i="1"/>
  <c r="L40" i="1"/>
  <c r="L48" i="1" s="1"/>
  <c r="N38" i="1"/>
  <c r="N90" i="8"/>
  <c r="L84" i="11"/>
  <c r="M26" i="10"/>
  <c r="N26" i="10" s="1"/>
  <c r="N20" i="10"/>
  <c r="M26" i="8"/>
  <c r="N26" i="8" s="1"/>
  <c r="N20" i="8"/>
  <c r="T164" i="9"/>
  <c r="T165" i="9" s="1"/>
  <c r="W165" i="9"/>
  <c r="AZ165" i="9" s="1"/>
  <c r="AZ166" i="9" s="1"/>
  <c r="M40" i="10"/>
  <c r="W175" i="12"/>
  <c r="AZ175" i="12" s="1"/>
  <c r="AZ176" i="12" s="1"/>
  <c r="T174" i="12"/>
  <c r="T175" i="12" s="1"/>
  <c r="T169" i="7"/>
  <c r="T170" i="7" s="1"/>
  <c r="W170" i="7"/>
  <c r="AZ170" i="7" s="1"/>
  <c r="AZ171" i="7" s="1"/>
  <c r="L96" i="1"/>
  <c r="N96" i="1" s="1"/>
  <c r="N90" i="1"/>
  <c r="M26" i="11"/>
  <c r="N26" i="11" s="1"/>
  <c r="N20" i="11"/>
  <c r="L96" i="10"/>
  <c r="N96" i="10" s="1"/>
  <c r="N90" i="10"/>
  <c r="N96" i="8"/>
  <c r="L40" i="8"/>
  <c r="N38" i="8"/>
  <c r="N90" i="11"/>
  <c r="N38" i="11"/>
  <c r="M40" i="1"/>
  <c r="M48" i="1" s="1"/>
  <c r="H99" i="11"/>
  <c r="H97" i="10"/>
  <c r="I98" i="8"/>
  <c r="B99" i="1"/>
  <c r="L99" i="14" l="1"/>
  <c r="L100" i="14" s="1"/>
  <c r="L101" i="14" s="1"/>
  <c r="N50" i="14"/>
  <c r="H100" i="14"/>
  <c r="S100" i="14" s="1"/>
  <c r="N99" i="14"/>
  <c r="Y190" i="13"/>
  <c r="BE190" i="13" s="1"/>
  <c r="BE191" i="13" s="1"/>
  <c r="T189" i="13"/>
  <c r="T190" i="13" s="1"/>
  <c r="N84" i="1"/>
  <c r="N82" i="11"/>
  <c r="N82" i="1"/>
  <c r="M48" i="10"/>
  <c r="L85" i="11"/>
  <c r="N84" i="11"/>
  <c r="L97" i="1"/>
  <c r="L98" i="1" s="1"/>
  <c r="L99" i="1" s="1"/>
  <c r="M84" i="8"/>
  <c r="N82" i="8"/>
  <c r="K97" i="11"/>
  <c r="K98" i="11" s="1"/>
  <c r="K99" i="11" s="1"/>
  <c r="L48" i="8"/>
  <c r="N40" i="8"/>
  <c r="N40" i="1"/>
  <c r="M48" i="11"/>
  <c r="M97" i="11" s="1"/>
  <c r="M98" i="11" s="1"/>
  <c r="K97" i="1"/>
  <c r="K98" i="1" s="1"/>
  <c r="K99" i="1" s="1"/>
  <c r="N48" i="1"/>
  <c r="M84" i="10"/>
  <c r="N82" i="10"/>
  <c r="M48" i="8"/>
  <c r="L48" i="10"/>
  <c r="N40" i="10"/>
  <c r="H98" i="10"/>
  <c r="I99" i="8"/>
  <c r="M97" i="1"/>
  <c r="N85" i="1"/>
  <c r="H101" i="14" l="1"/>
  <c r="N100" i="14"/>
  <c r="N48" i="8"/>
  <c r="L97" i="8"/>
  <c r="N84" i="10"/>
  <c r="M85" i="10"/>
  <c r="N48" i="11"/>
  <c r="M85" i="8"/>
  <c r="N84" i="8"/>
  <c r="N48" i="10"/>
  <c r="L97" i="10"/>
  <c r="L97" i="11"/>
  <c r="N85" i="11"/>
  <c r="M99" i="11"/>
  <c r="H99" i="10"/>
  <c r="M98" i="1"/>
  <c r="N97" i="1"/>
  <c r="N101" i="14" l="1"/>
  <c r="S101" i="14"/>
  <c r="L98" i="11"/>
  <c r="N97" i="11"/>
  <c r="M97" i="8"/>
  <c r="M98" i="8" s="1"/>
  <c r="M99" i="8" s="1"/>
  <c r="N85" i="8"/>
  <c r="L98" i="8"/>
  <c r="L98" i="10"/>
  <c r="M97" i="10"/>
  <c r="M98" i="10" s="1"/>
  <c r="M99" i="10" s="1"/>
  <c r="N85" i="10"/>
  <c r="M99" i="1"/>
  <c r="N99" i="1" s="1"/>
  <c r="N98" i="1"/>
  <c r="L99" i="10" l="1"/>
  <c r="N99" i="10" s="1"/>
  <c r="N98" i="10"/>
  <c r="N97" i="8"/>
  <c r="L99" i="8"/>
  <c r="N99" i="8" s="1"/>
  <c r="N98" i="8"/>
  <c r="L99" i="11"/>
  <c r="N99" i="11" s="1"/>
  <c r="N98" i="11"/>
  <c r="N97" i="10"/>
  <c r="E10" i="16"/>
  <c r="J14" i="16"/>
  <c r="K12" i="16"/>
  <c r="E11" i="16"/>
  <c r="E15" i="16" s="1"/>
  <c r="E28" i="16" s="1"/>
  <c r="E29" i="16" s="1"/>
  <c r="F7" i="16" s="1"/>
  <c r="F29" i="16" s="1"/>
  <c r="G7" i="16" s="1"/>
  <c r="G29" i="16" s="1"/>
</calcChain>
</file>

<file path=xl/sharedStrings.xml><?xml version="1.0" encoding="utf-8"?>
<sst xmlns="http://schemas.openxmlformats.org/spreadsheetml/2006/main" count="3290" uniqueCount="485">
  <si>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</si>
  <si>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</si>
  <si>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</si>
  <si>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</si>
  <si>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</si>
  <si>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</si>
  <si>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</si>
  <si>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</si>
  <si>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</si>
  <si>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</si>
  <si>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</si>
  <si>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</si>
  <si>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Total</t>
  </si>
  <si>
    <t>Income</t>
  </si>
  <si>
    <t xml:space="preserve">   4030 County BID</t>
  </si>
  <si>
    <t xml:space="preserve">   4031 County BID adjustments</t>
  </si>
  <si>
    <t xml:space="preserve">   4035 County 50% Match</t>
  </si>
  <si>
    <t xml:space="preserve">   Other Income</t>
  </si>
  <si>
    <t xml:space="preserve">      4250 Cooperative Advertising</t>
  </si>
  <si>
    <t xml:space="preserve">      4830 Event Brochure Ads</t>
  </si>
  <si>
    <t xml:space="preserve">      4950 Interest Income</t>
  </si>
  <si>
    <t xml:space="preserve">   Total Other Income</t>
  </si>
  <si>
    <t>Total Income</t>
  </si>
  <si>
    <t>Gross Profit</t>
  </si>
  <si>
    <t>Expenses</t>
  </si>
  <si>
    <t xml:space="preserve">   1- MEDIA &amp; WEBSITE</t>
  </si>
  <si>
    <t xml:space="preserve">      50 Advertising / Media</t>
  </si>
  <si>
    <t xml:space="preserve">         5130 Print &amp; Online Advertising</t>
  </si>
  <si>
    <t xml:space="preserve">         5150 Ad Development/Design</t>
  </si>
  <si>
    <t xml:space="preserve">         5170 Photography</t>
  </si>
  <si>
    <t xml:space="preserve">         5240 Research &amp; Development</t>
  </si>
  <si>
    <t xml:space="preserve">         5280 Video Development</t>
  </si>
  <si>
    <t xml:space="preserve">         5290 Marketing Contingency</t>
  </si>
  <si>
    <t xml:space="preserve">      Total 50 Advertising / Media</t>
  </si>
  <si>
    <t xml:space="preserve">      55 Marketing / Public Relations</t>
  </si>
  <si>
    <t xml:space="preserve">         5510 Public Relations Contract</t>
  </si>
  <si>
    <t xml:space="preserve">         5520 Marketing Agency Contract</t>
  </si>
  <si>
    <t xml:space="preserve">         5540 Clipping Service</t>
  </si>
  <si>
    <t xml:space="preserve">         5550 In-Market PR Stunts</t>
  </si>
  <si>
    <t xml:space="preserve">         5560 Media Events</t>
  </si>
  <si>
    <t xml:space="preserve">         5610 Travel -PR Related</t>
  </si>
  <si>
    <t xml:space="preserve">         5680 Visiting Media FAM Expenses</t>
  </si>
  <si>
    <t xml:space="preserve">      Total 55 Marketing / Public Relations</t>
  </si>
  <si>
    <t xml:space="preserve">      57 Website Maint / Development</t>
  </si>
  <si>
    <t xml:space="preserve">         5710 Interactive Media Coordinator</t>
  </si>
  <si>
    <t xml:space="preserve">         5750 Development/ Maintenance</t>
  </si>
  <si>
    <t xml:space="preserve">         5780 Interactive Marketing</t>
  </si>
  <si>
    <t xml:space="preserve">      Total 57 Website Maint / Development</t>
  </si>
  <si>
    <t xml:space="preserve">      58 Leisure / Group Sales</t>
  </si>
  <si>
    <t xml:space="preserve">         5810 Promotion Items, Booth Develop</t>
  </si>
  <si>
    <t xml:space="preserve">         5820 Consumer &amp; Trade Shows</t>
  </si>
  <si>
    <t xml:space="preserve">         5840 State Fair Exhibit</t>
  </si>
  <si>
    <t xml:space="preserve">         5880 Travel - Leisure/Group Sales</t>
  </si>
  <si>
    <t xml:space="preserve">         5885 Travel - Group FAMs</t>
  </si>
  <si>
    <t xml:space="preserve">      Total 58 Leisure / Group Sales</t>
  </si>
  <si>
    <t xml:space="preserve">   Total 1- MEDIA &amp; WEBSITE</t>
  </si>
  <si>
    <t xml:space="preserve">   2- VISITOR SVS / PARTNERSHIPS</t>
  </si>
  <si>
    <t xml:space="preserve">      Partnerships</t>
  </si>
  <si>
    <t xml:space="preserve">         6550 Conferences &amp; Seminars</t>
  </si>
  <si>
    <t xml:space="preserve">         6570 In-County Relations</t>
  </si>
  <si>
    <t xml:space="preserve">         6590 Memberships</t>
  </si>
  <si>
    <t xml:space="preserve">         6610 North Coast Tourism Council</t>
  </si>
  <si>
    <t xml:space="preserve">      Total Partnerships</t>
  </si>
  <si>
    <t xml:space="preserve">      Visitor Services</t>
  </si>
  <si>
    <t xml:space="preserve">         6720 Event &amp; Festival Guides</t>
  </si>
  <si>
    <t xml:space="preserve">         6730 Incentives &amp; Sponsorships</t>
  </si>
  <si>
    <t xml:space="preserve">         6770 Visitor Centers &amp; Signage</t>
  </si>
  <si>
    <t xml:space="preserve">      Total Visitor Services</t>
  </si>
  <si>
    <t xml:space="preserve">   Total 2- VISITOR SVS / PARTNERSHIPS</t>
  </si>
  <si>
    <t xml:space="preserve">   3- ADMIN EXPENSES</t>
  </si>
  <si>
    <t xml:space="preserve">      General Admin</t>
  </si>
  <si>
    <t xml:space="preserve">         7010 Accounting</t>
  </si>
  <si>
    <t xml:space="preserve">         7060 Bank Fees</t>
  </si>
  <si>
    <t xml:space="preserve">         7080 Board Development</t>
  </si>
  <si>
    <t xml:space="preserve">         7090 Copying &amp; Printing</t>
  </si>
  <si>
    <t xml:space="preserve">         7100 Dues &amp; Subscriptions</t>
  </si>
  <si>
    <t xml:space="preserve">         7130 Legal Fees</t>
  </si>
  <si>
    <t xml:space="preserve">         7140 Licenses &amp; Permits</t>
  </si>
  <si>
    <t xml:space="preserve">         7150 Meeting Expenses</t>
  </si>
  <si>
    <t xml:space="preserve">         7200 Office Expense</t>
  </si>
  <si>
    <t xml:space="preserve">         7210 Postage &amp; Shipping</t>
  </si>
  <si>
    <t xml:space="preserve">         7280 Travel Expenses</t>
  </si>
  <si>
    <t xml:space="preserve">      Total General Admin</t>
  </si>
  <si>
    <t xml:space="preserve">      Occupancy Costs</t>
  </si>
  <si>
    <t xml:space="preserve">         7650 Rent</t>
  </si>
  <si>
    <t xml:space="preserve">         7660 Insurance</t>
  </si>
  <si>
    <t xml:space="preserve">         7850 Repairs &amp; Maintenance</t>
  </si>
  <si>
    <t xml:space="preserve">         7890 Taxes</t>
  </si>
  <si>
    <t xml:space="preserve">         7910 Telecommunication</t>
  </si>
  <si>
    <t xml:space="preserve">         7950 Utilities</t>
  </si>
  <si>
    <t xml:space="preserve">         7990 Depreciation Expense</t>
  </si>
  <si>
    <t xml:space="preserve">      Total Occupancy Costs</t>
  </si>
  <si>
    <t xml:space="preserve">   Total 3- ADMIN EXPENSES</t>
  </si>
  <si>
    <t xml:space="preserve">   4- PERSONNEL</t>
  </si>
  <si>
    <t xml:space="preserve">      8510 Salaries &amp; Wages</t>
  </si>
  <si>
    <t xml:space="preserve">      8520 Paid Time Off</t>
  </si>
  <si>
    <t xml:space="preserve">      8530 Payroll Taxes</t>
  </si>
  <si>
    <t xml:space="preserve">      8540 Payroll Processing Fees</t>
  </si>
  <si>
    <t xml:space="preserve">      8550 Workers Comp</t>
  </si>
  <si>
    <t xml:space="preserve">      8570 Health Insurance</t>
  </si>
  <si>
    <t xml:space="preserve">      8580 Other Employee Benefits</t>
  </si>
  <si>
    <t xml:space="preserve">      8590 Contract Work</t>
  </si>
  <si>
    <t xml:space="preserve">      8615 Employee Recruitment</t>
  </si>
  <si>
    <t xml:space="preserve">   Total 4- PERSONNEL</t>
  </si>
  <si>
    <t>Total Expenses</t>
  </si>
  <si>
    <t>Net Operating Income</t>
  </si>
  <si>
    <t>Net Income</t>
  </si>
  <si>
    <t>Friday, Jan 24, 2020 04:15:31 PM GMT-8 - Accrual Basis</t>
  </si>
  <si>
    <t>Mendocino County Tourism Commission</t>
  </si>
  <si>
    <t xml:space="preserve">Est Date of Next: </t>
  </si>
  <si>
    <t xml:space="preserve">Avg Time Between BID Pymnts: </t>
  </si>
  <si>
    <t xml:space="preserve">Avg Time Between TOT Pyments: </t>
  </si>
  <si>
    <t>Invoice</t>
  </si>
  <si>
    <t>12/31/2019</t>
  </si>
  <si>
    <t>Payment</t>
  </si>
  <si>
    <t>01/22/2020</t>
  </si>
  <si>
    <t>11/30/2019</t>
  </si>
  <si>
    <t>01/10/2020</t>
  </si>
  <si>
    <t>07/31/2019</t>
  </si>
  <si>
    <t>09/30/2019</t>
  </si>
  <si>
    <t>08/31/2019</t>
  </si>
  <si>
    <t>10/31/2019</t>
  </si>
  <si>
    <t>12/05/2019</t>
  </si>
  <si>
    <t>10/15/2019</t>
  </si>
  <si>
    <t>05/31/2019</t>
  </si>
  <si>
    <t>03/31/2019</t>
  </si>
  <si>
    <t>04/30/2019</t>
  </si>
  <si>
    <t>06/30/2019</t>
  </si>
  <si>
    <t>07/23/2019</t>
  </si>
  <si>
    <t xml:space="preserve"># of </t>
  </si>
  <si>
    <t>Amount</t>
  </si>
  <si>
    <t xml:space="preserve">Payment Notes: </t>
  </si>
  <si>
    <t xml:space="preserve">Amount </t>
  </si>
  <si>
    <t>Reference #</t>
  </si>
  <si>
    <t>Date</t>
  </si>
  <si>
    <t>Notes</t>
  </si>
  <si>
    <t>As of July 1, 2019 - January 23, 2020</t>
  </si>
  <si>
    <t xml:space="preserve"> County of Mendocino Payments</t>
  </si>
  <si>
    <t>last day of month - Estimate</t>
  </si>
  <si>
    <t xml:space="preserve">Accouting </t>
  </si>
  <si>
    <t>last day of month</t>
  </si>
  <si>
    <t>KOZT</t>
  </si>
  <si>
    <t>Brendan McGuigan</t>
  </si>
  <si>
    <t>Ukiah Waste Solutions</t>
  </si>
  <si>
    <t xml:space="preserve">City of Ukiah </t>
  </si>
  <si>
    <t>28th</t>
  </si>
  <si>
    <t xml:space="preserve">Comcast </t>
  </si>
  <si>
    <t>28th - Estimate</t>
  </si>
  <si>
    <t>PG&amp;E</t>
  </si>
  <si>
    <t xml:space="preserve">26th - auto payment </t>
  </si>
  <si>
    <t xml:space="preserve">Sonic </t>
  </si>
  <si>
    <t>23rd - Estimate</t>
  </si>
  <si>
    <t>21st</t>
  </si>
  <si>
    <t xml:space="preserve">Silvia </t>
  </si>
  <si>
    <t>20th</t>
  </si>
  <si>
    <t xml:space="preserve">Payroll </t>
  </si>
  <si>
    <t>3/12/2020 Estimated Pymnt Date/Amnt</t>
  </si>
  <si>
    <t xml:space="preserve">Mendocino County </t>
  </si>
  <si>
    <t>3/9/2020 Estimated Pymnt Date/Amnt</t>
  </si>
  <si>
    <t>16th</t>
  </si>
  <si>
    <t xml:space="preserve">North Coast Tourism </t>
  </si>
  <si>
    <t>15th</t>
  </si>
  <si>
    <t xml:space="preserve">JD Zastro </t>
  </si>
  <si>
    <t>15th - Estimate</t>
  </si>
  <si>
    <t>Burrelles Luce</t>
  </si>
  <si>
    <t>Paramont Signs</t>
  </si>
  <si>
    <t>7th</t>
  </si>
  <si>
    <t>5th</t>
  </si>
  <si>
    <t>1st - Estimate</t>
  </si>
  <si>
    <t>Xerox</t>
  </si>
  <si>
    <t>1st</t>
  </si>
  <si>
    <t xml:space="preserve">Deep Valley Security </t>
  </si>
  <si>
    <t>TheorySF</t>
  </si>
  <si>
    <t>1st - auto payment</t>
  </si>
  <si>
    <t>Beverly Sanders</t>
  </si>
  <si>
    <t xml:space="preserve">345 - Rent </t>
  </si>
  <si>
    <t xml:space="preserve">Koli </t>
  </si>
  <si>
    <t>Employee Reiumburse</t>
  </si>
  <si>
    <t xml:space="preserve">MMWW </t>
  </si>
  <si>
    <t>4/26/2020 Estimated Pymnt Date/Amnt</t>
  </si>
  <si>
    <t>3/1/2020 Due 4/15/2020</t>
  </si>
  <si>
    <t>3/31/2020 - Estimate</t>
  </si>
  <si>
    <t>3/28/2020 - Estimate</t>
  </si>
  <si>
    <t xml:space="preserve">3/26/2020 - auto payment </t>
  </si>
  <si>
    <t xml:space="preserve">3/20/2020 (If we don’t receive payment) </t>
  </si>
  <si>
    <t>3/15/2020 - Estimate</t>
  </si>
  <si>
    <t>3/1/2020 - Estimate</t>
  </si>
  <si>
    <t>3/1/2020 - auto payment</t>
  </si>
  <si>
    <t>2/29/2020 - Estimate</t>
  </si>
  <si>
    <t>2/28/2020 - Estimate</t>
  </si>
  <si>
    <t xml:space="preserve">2/28/2020 - Final (Estimate) </t>
  </si>
  <si>
    <t xml:space="preserve">FB Water Works </t>
  </si>
  <si>
    <t xml:space="preserve">2/26/2020 - auto payment </t>
  </si>
  <si>
    <t>2/15/2020 - Estimate</t>
  </si>
  <si>
    <t>2/15/2020 ($88,358.58-$85,000)</t>
  </si>
  <si>
    <t>Unknown - part 2/2 payments</t>
  </si>
  <si>
    <t>Granite &amp; Light</t>
  </si>
  <si>
    <t>2/1/2020 - Estimate</t>
  </si>
  <si>
    <t>2/1/2020 - auto payment</t>
  </si>
  <si>
    <t>KGO</t>
  </si>
  <si>
    <t>1/31/2020 - Estimate</t>
  </si>
  <si>
    <t>1/31/2020 - auto payment</t>
  </si>
  <si>
    <t>1/28/2020 - auto payment</t>
  </si>
  <si>
    <t>1/26/2020 - auto payment</t>
  </si>
  <si>
    <t xml:space="preserve">Remaining Checking Balance </t>
  </si>
  <si>
    <t xml:space="preserve">Projected A/P </t>
  </si>
  <si>
    <r>
      <t xml:space="preserve">2/1/2020 Due 3/15/2020 </t>
    </r>
    <r>
      <rPr>
        <b/>
        <sz val="8"/>
        <color indexed="8"/>
        <rFont val="Arial"/>
        <family val="2"/>
      </rPr>
      <t>HOLD CHECK</t>
    </r>
  </si>
  <si>
    <t>x</t>
  </si>
  <si>
    <t>Code</t>
  </si>
  <si>
    <t>Description</t>
  </si>
  <si>
    <t xml:space="preserve">GSUITE </t>
  </si>
  <si>
    <t>Note</t>
  </si>
  <si>
    <t>Monthy Fee</t>
  </si>
  <si>
    <t>Box.com</t>
  </si>
  <si>
    <t>MCN (FB Internet)</t>
  </si>
  <si>
    <t>Rocketlaw.com</t>
  </si>
  <si>
    <t>Adobe</t>
  </si>
  <si>
    <t>MailChimp</t>
  </si>
  <si>
    <t xml:space="preserve">Intuit - Payroll </t>
  </si>
  <si>
    <t>Sprout Social</t>
  </si>
  <si>
    <t>Digital Ocean</t>
  </si>
  <si>
    <t xml:space="preserve">SendGrid </t>
  </si>
  <si>
    <t>Jucier</t>
  </si>
  <si>
    <t>Facebook</t>
  </si>
  <si>
    <t>Amt Varies</t>
  </si>
  <si>
    <t xml:space="preserve">In the event of upcharges (+25%) </t>
  </si>
  <si>
    <t>DMA West Technology Summitt</t>
  </si>
  <si>
    <t>Tuscon</t>
  </si>
  <si>
    <t>Airfare</t>
  </si>
  <si>
    <t>Ramon</t>
  </si>
  <si>
    <t>Tucson</t>
  </si>
  <si>
    <t>Per Diem</t>
  </si>
  <si>
    <t>Hotel</t>
  </si>
  <si>
    <t>Travis</t>
  </si>
  <si>
    <t>SFO</t>
  </si>
  <si>
    <t>Parking</t>
  </si>
  <si>
    <t xml:space="preserve">Hotel </t>
  </si>
  <si>
    <t>LA Travel &amp; Adventure Show</t>
  </si>
  <si>
    <t xml:space="preserve">Oakland </t>
  </si>
  <si>
    <t>RJ or KK</t>
  </si>
  <si>
    <t>Los Angeles</t>
  </si>
  <si>
    <t>Katrina</t>
  </si>
  <si>
    <t>Outlook &amp; LA Travel &amp; Adventure</t>
  </si>
  <si>
    <t>Outlook Forum</t>
  </si>
  <si>
    <t xml:space="preserve">Parking </t>
  </si>
  <si>
    <t>Alison</t>
  </si>
  <si>
    <t xml:space="preserve">Outlook Forum </t>
  </si>
  <si>
    <t>San Diego</t>
  </si>
  <si>
    <t>Crab Cake Cookoff</t>
  </si>
  <si>
    <t>Fort Bragg</t>
  </si>
  <si>
    <t>Quarterly Meeting</t>
  </si>
  <si>
    <t>Ukiah</t>
  </si>
  <si>
    <t>NCTC</t>
  </si>
  <si>
    <t>Larry Galupe</t>
  </si>
  <si>
    <t>Julie Benbow</t>
  </si>
  <si>
    <t>Cost</t>
  </si>
  <si>
    <t>Why</t>
  </si>
  <si>
    <t>Where</t>
  </si>
  <si>
    <t>What</t>
  </si>
  <si>
    <t>Who</t>
  </si>
  <si>
    <t>Upcoming Travel Expenses:</t>
  </si>
  <si>
    <t>M</t>
  </si>
  <si>
    <t xml:space="preserve"> Transfer 85K from Svngs </t>
  </si>
  <si>
    <t>Above Pmnt Applied Invoice</t>
  </si>
  <si>
    <t>CCD See tab below</t>
  </si>
  <si>
    <t xml:space="preserve">2/23/2020 - Monthly Bills </t>
  </si>
  <si>
    <t xml:space="preserve">Chase M/C  7099 (Monthly) </t>
  </si>
  <si>
    <t xml:space="preserve">3/23/2020 - Monthly Bills </t>
  </si>
  <si>
    <t xml:space="preserve">23rd - Monthly </t>
  </si>
  <si>
    <t xml:space="preserve">Balancing </t>
  </si>
  <si>
    <t>51 days from last TOT$</t>
  </si>
  <si>
    <t>96 days from last BID$</t>
  </si>
  <si>
    <t>45 days from last TOT$</t>
  </si>
  <si>
    <t>39 days from last TOT$</t>
  </si>
  <si>
    <t xml:space="preserve">100 day for last BID$ </t>
  </si>
  <si>
    <t>103 days from last TOT$</t>
  </si>
  <si>
    <t>36 days from last TOT$</t>
  </si>
  <si>
    <t>12 days from last TOT$</t>
  </si>
  <si>
    <t>CODE</t>
  </si>
  <si>
    <t xml:space="preserve">TS 2019_2020 Est Travel </t>
  </si>
  <si>
    <t xml:space="preserve">1/28/2020 - Quarterly NCTC Meeting </t>
  </si>
  <si>
    <t xml:space="preserve">2/1/2020 - Crab Cake Cook Off </t>
  </si>
  <si>
    <t xml:space="preserve">JANUARY </t>
  </si>
  <si>
    <t xml:space="preserve">FEBRUARY </t>
  </si>
  <si>
    <t>MARCH</t>
  </si>
  <si>
    <t xml:space="preserve">APRIL </t>
  </si>
  <si>
    <t>MAY</t>
  </si>
  <si>
    <t>JUNE</t>
  </si>
  <si>
    <t xml:space="preserve">Chase M/C  7099 </t>
  </si>
  <si>
    <t xml:space="preserve">2/23/2020 - IPW, San Diego, Allman </t>
  </si>
  <si>
    <t xml:space="preserve">3/28/2020 - DMA West </t>
  </si>
  <si>
    <t xml:space="preserve"> - already hit</t>
  </si>
  <si>
    <t xml:space="preserve">2/12/2020 - Outlook Forum </t>
  </si>
  <si>
    <t>2/16/2020 - LA Trave Show</t>
  </si>
  <si>
    <t xml:space="preserve">4/1/2020 Due 5/15/2020 - FINAL </t>
  </si>
  <si>
    <t>TOTAL</t>
  </si>
  <si>
    <t xml:space="preserve">June 2020 New Price Estimate </t>
  </si>
  <si>
    <t>MT 115</t>
  </si>
  <si>
    <t>Bill</t>
  </si>
  <si>
    <t>May 2020 New Price Estimate</t>
  </si>
  <si>
    <t>MT 114</t>
  </si>
  <si>
    <t xml:space="preserve">April 2020 New Price Estimate </t>
  </si>
  <si>
    <t>MT 113</t>
  </si>
  <si>
    <t xml:space="preserve">March 2020 New Price Estimate </t>
  </si>
  <si>
    <t>MT 112</t>
  </si>
  <si>
    <t>Feburary 2020 New Price Estimate</t>
  </si>
  <si>
    <t>NA</t>
  </si>
  <si>
    <t>Skip Bill This Month Per JZ</t>
  </si>
  <si>
    <t xml:space="preserve">Credit On VMC Account </t>
  </si>
  <si>
    <t xml:space="preserve">No. </t>
  </si>
  <si>
    <t>Type</t>
  </si>
  <si>
    <t>Est Date</t>
  </si>
  <si>
    <t>Media Matters Worldwide</t>
  </si>
  <si>
    <t>Bill Payment (Check)</t>
  </si>
  <si>
    <t>January 2020 New Price Estimate</t>
  </si>
  <si>
    <t>Print &amp; Online Advertising</t>
  </si>
  <si>
    <t>MT 111 (01/20)</t>
  </si>
  <si>
    <t>11/13/2019</t>
  </si>
  <si>
    <t>6936</t>
  </si>
  <si>
    <t>11/14/2019</t>
  </si>
  <si>
    <t>December 2019 New Price Estimate</t>
  </si>
  <si>
    <t>MT110 (12/19)</t>
  </si>
  <si>
    <t>6904</t>
  </si>
  <si>
    <t>10/18/2019</t>
  </si>
  <si>
    <t>November 2019 New Price Estimate</t>
  </si>
  <si>
    <t>MT 109 (11/19)</t>
  </si>
  <si>
    <t>09/17/2019</t>
  </si>
  <si>
    <t>6837</t>
  </si>
  <si>
    <t>08/21/2019</t>
  </si>
  <si>
    <t>October 2019 Actuals</t>
  </si>
  <si>
    <t>MT 108 (10/19)</t>
  </si>
  <si>
    <t>08/16/2019</t>
  </si>
  <si>
    <t>6826</t>
  </si>
  <si>
    <t>September 2019 Actuals</t>
  </si>
  <si>
    <t>MT 107 (9/19)</t>
  </si>
  <si>
    <t xml:space="preserve">Difference </t>
  </si>
  <si>
    <t>New Price Sheet</t>
  </si>
  <si>
    <t>Invoice Total</t>
  </si>
  <si>
    <t>Category</t>
  </si>
  <si>
    <t>Payee</t>
  </si>
  <si>
    <t>No.</t>
  </si>
  <si>
    <t xml:space="preserve"> Media Matters WorldWide</t>
  </si>
  <si>
    <t>6/13/2020 Estimated Pymnt Date/Amnt</t>
  </si>
  <si>
    <t>6/18/2020 Estimated Pymnt Date/Amnt</t>
  </si>
  <si>
    <t>Transfer 65k back to Svngs</t>
  </si>
  <si>
    <t>3/20/2020 ($3,358.58+65k = 68,358.58)</t>
  </si>
  <si>
    <t>Transfer 90k back to Svngs</t>
  </si>
  <si>
    <t>7/1/2020 Savings Bank Replenished</t>
  </si>
  <si>
    <t>Other Company (Unknown)</t>
  </si>
  <si>
    <t xml:space="preserve">Notes </t>
  </si>
  <si>
    <t>Estimates</t>
  </si>
  <si>
    <t>w/ MMWW</t>
  </si>
  <si>
    <t>w/ TheorySF</t>
  </si>
  <si>
    <t>w/o CO Partner Payouts</t>
  </si>
  <si>
    <t>w/o MMWW + $5k Other</t>
  </si>
  <si>
    <t xml:space="preserve">w/ Koli </t>
  </si>
  <si>
    <t xml:space="preserve">w/ TheorySF </t>
  </si>
  <si>
    <t>w/ Accountant</t>
  </si>
  <si>
    <t xml:space="preserve">County Giving Payments </t>
  </si>
  <si>
    <t xml:space="preserve">1st </t>
  </si>
  <si>
    <t>Transfer 50k back to Svngs</t>
  </si>
  <si>
    <t>3/20/2020 ($3,358.58+50k = 53,358.58)</t>
  </si>
  <si>
    <t xml:space="preserve">Payment Schedule Over </t>
  </si>
  <si>
    <t>Dated 3/1/2020 Due 4/15/2020</t>
  </si>
  <si>
    <t>Dated 4/1/2020 Due 5/15/2020</t>
  </si>
  <si>
    <t>w/ County Giving</t>
  </si>
  <si>
    <t>w/o Accountant</t>
  </si>
  <si>
    <t>w/ lower staffing levels</t>
  </si>
  <si>
    <t>w/ higher staffing levels</t>
  </si>
  <si>
    <t xml:space="preserve">Taste Mendocino </t>
  </si>
  <si>
    <t xml:space="preserve">w/ MMWW </t>
  </si>
  <si>
    <t>Bare Bones P&amp;L by Month (July 2019 - June 2020)</t>
  </si>
  <si>
    <t>Bare Bones Cash Flows</t>
  </si>
  <si>
    <t xml:space="preserve">Bare Bones Cash Flows </t>
  </si>
  <si>
    <t xml:space="preserve">End of Month </t>
  </si>
  <si>
    <t xml:space="preserve"> Transfer 80K from Svngs </t>
  </si>
  <si>
    <t>2/15/2020 ($88,358.58-$80,000)</t>
  </si>
  <si>
    <t>3/20/2020 ($8,358.58+50k = 58,358.58)</t>
  </si>
  <si>
    <r>
      <t xml:space="preserve">Dated 2/1/2020 Due 3/15/2020 </t>
    </r>
    <r>
      <rPr>
        <b/>
        <sz val="8"/>
        <color indexed="8"/>
        <rFont val="Arial"/>
        <family val="2"/>
      </rPr>
      <t>HOLD CK</t>
    </r>
  </si>
  <si>
    <t>(Example 2: w/ MMWW, w/ CO Give, Lower Staff Levels, w/o Accountant)</t>
  </si>
  <si>
    <t>(Example 2: w/ MMWW, w/ CO Give, w/ Lower Staff Levels, w/o Accountant)</t>
  </si>
  <si>
    <t>(Example 1: All Current Bills &amp; Contracts)</t>
  </si>
  <si>
    <t>Card</t>
  </si>
  <si>
    <t>Emily</t>
  </si>
  <si>
    <t>Alan</t>
  </si>
  <si>
    <t>Minimun</t>
  </si>
  <si>
    <t>VMC Repeating Monthly Credit Card Bills</t>
  </si>
  <si>
    <t>TS Provided Reporting</t>
  </si>
  <si>
    <t xml:space="preserve">Monthly Contingency Fund </t>
  </si>
  <si>
    <t xml:space="preserve">      General Admin (9999 Contingency Fund)</t>
  </si>
  <si>
    <t>Unpredictable $ - ED Approval Required</t>
  </si>
  <si>
    <t>w/ Mnthly Contingency</t>
  </si>
  <si>
    <t>State Fair</t>
  </si>
  <si>
    <t>Unknown</t>
  </si>
  <si>
    <t xml:space="preserve">w/ State Fair </t>
  </si>
  <si>
    <t>(Example 4: w/o MMWW + $5k for other, w/ CO Give, w/ Higher Staff Levels)</t>
  </si>
  <si>
    <t>w/ State Fair</t>
  </si>
  <si>
    <t xml:space="preserve">1st to End of Month - Estimate </t>
  </si>
  <si>
    <t>Marketing Service</t>
  </si>
  <si>
    <t>(Example 3: w/o MMWW, w/ CO Give, w/ Lower Staff Levels, w/ Accountant, w/ Marketing Service)</t>
  </si>
  <si>
    <t xml:space="preserve">w/o MMWW, w/ Mrkt Service </t>
  </si>
  <si>
    <t>Accoutant</t>
  </si>
  <si>
    <t xml:space="preserve">2nd to End of Month - Estimate </t>
  </si>
  <si>
    <t>w/ County Giving - $38,655</t>
  </si>
  <si>
    <t>w/ Lower Staffing Levels</t>
  </si>
  <si>
    <t xml:space="preserve">w/o MMWW, w/ Mrkt Service, FB </t>
  </si>
  <si>
    <t>2/16/2020 - LA Travel Show</t>
  </si>
  <si>
    <t>Chase M/C- Ramon Ask</t>
  </si>
  <si>
    <t>Hit 3/23 Bill - LA Travel Loading/Unloading</t>
  </si>
  <si>
    <t>Hit 3/23 Bill - LA Travel LA to Bay Shipping</t>
  </si>
  <si>
    <t xml:space="preserve">Chase M/C- Ramon Ask </t>
  </si>
  <si>
    <t>Stakeholder Mixer - KK Ask</t>
  </si>
  <si>
    <t>March - Unknown</t>
  </si>
  <si>
    <t>Customer Service - KK Ask</t>
  </si>
  <si>
    <t>May - Unknown</t>
  </si>
  <si>
    <t>Clings w/ VMC Logo - KK Ask</t>
  </si>
  <si>
    <t>February - Unknown</t>
  </si>
  <si>
    <t>Beer Trail Map Printing - ADG Ask</t>
  </si>
  <si>
    <t>Beer Trail Map (Inkfish Design)- ADG Ask</t>
  </si>
  <si>
    <t>Feb / March - Estimated Time Frame</t>
  </si>
  <si>
    <r>
      <t xml:space="preserve">3/1/2020 </t>
    </r>
    <r>
      <rPr>
        <b/>
        <sz val="8"/>
        <color indexed="8"/>
        <rFont val="Arial"/>
        <family val="2"/>
      </rPr>
      <t>HOLD PAYMENT IF NEEDED</t>
    </r>
  </si>
  <si>
    <t>Beer Trail Map</t>
  </si>
  <si>
    <t xml:space="preserve">      5870 Leisure / Group Sales (Shipping) </t>
  </si>
  <si>
    <t>Trade Show Shipping</t>
  </si>
  <si>
    <t>Clings, Mixers, Customer Service LWVM</t>
  </si>
  <si>
    <t>Partial TheorySF</t>
  </si>
  <si>
    <t xml:space="preserve">KOLI - IPW Expense </t>
  </si>
  <si>
    <t>Estimates (Flight $150/Food $150/Car $100/Stay $200)</t>
  </si>
  <si>
    <t>Hit 4/23 Bill - Bay Loading/Unloading</t>
  </si>
  <si>
    <t>Hit 4/23 Bill - Bay Area to VMC</t>
  </si>
  <si>
    <t>Chase M/C - IPW Costs - Ramon Ask Sheet</t>
  </si>
  <si>
    <t>Stakeholder Mixer - KK Ask Sheet</t>
  </si>
  <si>
    <t>Chase M/C- Ramon Ask Sheet</t>
  </si>
  <si>
    <t xml:space="preserve">Chase M/C- Ramon Ask Sheet </t>
  </si>
  <si>
    <t>HIT 6/23 Bill - IPW Food/Transportation/Freight</t>
  </si>
  <si>
    <t>Hit 3/23 - IPW KK &amp; RJ sign up + Lodging &amp; Flights</t>
  </si>
  <si>
    <t xml:space="preserve">NTCT Refund for IPW Booth </t>
  </si>
  <si>
    <t xml:space="preserve">Hit 4/23 Bill - DMA West Tech Summitt </t>
  </si>
  <si>
    <t xml:space="preserve">HIT 3/23 Chast Bill  - DMA West Travel </t>
  </si>
  <si>
    <t>2/15/2020 ($88,358.58-$88,000)</t>
  </si>
  <si>
    <t>3/20/2020 ($358.58+58k = 58,358.58)</t>
  </si>
  <si>
    <t xml:space="preserve">Chase M/C - Alison Ask Sheet </t>
  </si>
  <si>
    <t xml:space="preserve">Hit 3/23 - Vist CA Media Event </t>
  </si>
  <si>
    <t xml:space="preserve">Visit CA April Media Event </t>
  </si>
  <si>
    <t>Mid Year Budget Adjustment FY 2019/2020</t>
  </si>
  <si>
    <t xml:space="preserve">Cash Flows </t>
  </si>
  <si>
    <t>P&amp;L by Month</t>
  </si>
  <si>
    <t>Agency Xi</t>
  </si>
  <si>
    <t>Koli (IPW June)</t>
  </si>
  <si>
    <t xml:space="preserve">TheorySF </t>
  </si>
  <si>
    <t xml:space="preserve">Monthly Opportunistic Fund </t>
  </si>
  <si>
    <t>Actual</t>
  </si>
  <si>
    <t>Projection</t>
  </si>
  <si>
    <t>Cross check</t>
  </si>
  <si>
    <t xml:space="preserve">         5870 Shipping - Travel Shows</t>
  </si>
  <si>
    <t xml:space="preserve">         5890 Misc. Sales Opportunities</t>
  </si>
  <si>
    <t>Cash Flow Projection</t>
  </si>
  <si>
    <t>Fiscal Year 2019-2020</t>
  </si>
  <si>
    <t>Forecast</t>
  </si>
  <si>
    <t>CASH ON HAND (beginning cash)</t>
  </si>
  <si>
    <t>RECEIPTS</t>
  </si>
  <si>
    <t xml:space="preserve">   County BID</t>
  </si>
  <si>
    <t xml:space="preserve">   County BID adjustments</t>
  </si>
  <si>
    <t xml:space="preserve">   County 50% Match</t>
  </si>
  <si>
    <t>CASH ON HAND (Savings)</t>
  </si>
  <si>
    <t>TOTAL RECEIPTS</t>
  </si>
  <si>
    <t>DISBURSEMENTS</t>
  </si>
  <si>
    <t>TOTAL DISBURSEMENTS</t>
  </si>
  <si>
    <t>ENDING CASH</t>
  </si>
  <si>
    <t>NET CASH INCREASE/DECREASE)</t>
  </si>
  <si>
    <t xml:space="preserve">   3- ADMIN - General Expenses</t>
  </si>
  <si>
    <t xml:space="preserve">   3- ADMIN - Occupancy Costs</t>
  </si>
  <si>
    <t xml:space="preserve">   West Company</t>
  </si>
  <si>
    <t xml:space="preserve">   Expenses to be categorized</t>
  </si>
  <si>
    <t>1st Qrtr</t>
  </si>
  <si>
    <t>2nd Qrtr</t>
  </si>
  <si>
    <t>3rd Qrtr</t>
  </si>
  <si>
    <t>4th Qrtr</t>
  </si>
  <si>
    <t>Budget</t>
  </si>
  <si>
    <t>reduce by</t>
  </si>
  <si>
    <t>County BID</t>
  </si>
  <si>
    <t>FY 18-19</t>
  </si>
  <si>
    <t>FY 18-19 Rec'd</t>
  </si>
  <si>
    <t>FY 19-20</t>
  </si>
  <si>
    <t>Enter from Balance Sheet - total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</si>
</sst>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0.0"/>
    <numFmt numFmtId="167" formatCode="&quot;$&quot;#,##0.00"/>
    <numFmt numFmtId="168" formatCode="_(* #,##0_);_(* \(#,##0\);_(* &quot;-&quot;??_);_(@_)"/>
  </numFmts>
  <fonts count="31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8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8"/>
      <color rgb="FFC0000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rgb="FFC0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/>
    <xf numFmtId="0" fontId="16" fillId="0" borderId="0"/>
    <xf numFmtId="44" fontId="16" fillId="0" borderId="0" applyFont="0" applyFill="0" applyBorder="0" applyAlignment="0" applyProtection="0"/>
  </cellStyleXfs>
  <cellXfs count="618">
    <xf numFmtId="0" fontId="0" fillId="0" borderId="0" xfId="0"/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0" fillId="0" borderId="0" xfId="0"/>
    <xf numFmtId="0" fontId="6" fillId="0" borderId="0" xfId="0" applyFont="1"/>
    <xf numFmtId="0" fontId="7" fillId="0" borderId="0" xfId="0" applyFont="1"/>
    <xf numFmtId="14" fontId="6" fillId="2" borderId="0" xfId="0" applyNumberFormat="1" applyFont="1" applyFill="1"/>
    <xf numFmtId="14" fontId="6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right"/>
    </xf>
    <xf numFmtId="166" fontId="6" fillId="2" borderId="0" xfId="0" applyNumberFormat="1" applyFont="1" applyFill="1" applyAlignment="1">
      <alignment horizontal="left"/>
    </xf>
    <xf numFmtId="4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67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 wrapText="1"/>
    </xf>
    <xf numFmtId="167" fontId="6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6" fillId="0" borderId="1" xfId="0" applyFont="1" applyBorder="1"/>
    <xf numFmtId="14" fontId="7" fillId="0" borderId="6" xfId="0" applyNumberFormat="1" applyFont="1" applyBorder="1" applyAlignment="1">
      <alignment horizontal="left" vertical="center"/>
    </xf>
    <xf numFmtId="7" fontId="6" fillId="0" borderId="0" xfId="0" applyNumberFormat="1" applyFont="1"/>
    <xf numFmtId="14" fontId="6" fillId="0" borderId="0" xfId="0" applyNumberFormat="1" applyFont="1" applyAlignment="1">
      <alignment horizontal="left"/>
    </xf>
    <xf numFmtId="7" fontId="6" fillId="0" borderId="4" xfId="0" applyNumberFormat="1" applyFont="1" applyBorder="1" applyAlignment="1">
      <alignment horizontal="right" wrapText="1"/>
    </xf>
    <xf numFmtId="167" fontId="6" fillId="0" borderId="0" xfId="0" applyNumberFormat="1" applyFont="1" applyAlignment="1">
      <alignment wrapText="1"/>
    </xf>
    <xf numFmtId="167" fontId="6" fillId="0" borderId="0" xfId="0" applyNumberFormat="1" applyFont="1"/>
    <xf numFmtId="167" fontId="7" fillId="0" borderId="0" xfId="0" applyNumberFormat="1" applyFont="1" applyAlignment="1">
      <alignment horizontal="left" wrapText="1"/>
    </xf>
    <xf numFmtId="167" fontId="7" fillId="0" borderId="0" xfId="0" applyNumberFormat="1" applyFont="1"/>
    <xf numFmtId="14" fontId="6" fillId="0" borderId="0" xfId="0" applyNumberFormat="1" applyFont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0" borderId="0" xfId="0" applyFont="1"/>
    <xf numFmtId="44" fontId="6" fillId="0" borderId="0" xfId="2" applyFont="1"/>
    <xf numFmtId="44" fontId="7" fillId="0" borderId="0" xfId="2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Fill="1"/>
    <xf numFmtId="167" fontId="7" fillId="0" borderId="0" xfId="0" applyNumberFormat="1" applyFont="1" applyFill="1" applyAlignment="1">
      <alignment horizontal="left" wrapText="1"/>
    </xf>
    <xf numFmtId="167" fontId="6" fillId="0" borderId="0" xfId="0" applyNumberFormat="1" applyFont="1" applyFill="1"/>
    <xf numFmtId="167" fontId="6" fillId="0" borderId="0" xfId="0" applyNumberFormat="1" applyFont="1" applyFill="1" applyAlignment="1">
      <alignment wrapText="1"/>
    </xf>
    <xf numFmtId="7" fontId="6" fillId="0" borderId="4" xfId="0" applyNumberFormat="1" applyFont="1" applyFill="1" applyBorder="1" applyAlignment="1">
      <alignment horizontal="right" wrapText="1"/>
    </xf>
    <xf numFmtId="14" fontId="6" fillId="0" borderId="0" xfId="0" applyNumberFormat="1" applyFont="1" applyFill="1" applyAlignment="1">
      <alignment horizontal="left"/>
    </xf>
    <xf numFmtId="7" fontId="6" fillId="0" borderId="0" xfId="0" applyNumberFormat="1" applyFont="1" applyFill="1"/>
    <xf numFmtId="0" fontId="7" fillId="0" borderId="0" xfId="0" applyFont="1" applyFill="1" applyAlignment="1">
      <alignment horizontal="left" wrapText="1"/>
    </xf>
    <xf numFmtId="0" fontId="6" fillId="0" borderId="0" xfId="0" applyNumberFormat="1" applyFont="1"/>
    <xf numFmtId="44" fontId="6" fillId="0" borderId="4" xfId="0" applyNumberFormat="1" applyFont="1" applyBorder="1"/>
    <xf numFmtId="0" fontId="6" fillId="0" borderId="0" xfId="0" applyFont="1" applyAlignment="1">
      <alignment horizontal="center"/>
    </xf>
    <xf numFmtId="0" fontId="10" fillId="0" borderId="0" xfId="3"/>
    <xf numFmtId="14" fontId="10" fillId="0" borderId="0" xfId="3" applyNumberFormat="1"/>
    <xf numFmtId="0" fontId="10" fillId="0" borderId="7" xfId="3" applyBorder="1"/>
    <xf numFmtId="14" fontId="10" fillId="0" borderId="7" xfId="3" applyNumberFormat="1" applyBorder="1"/>
    <xf numFmtId="0" fontId="10" fillId="0" borderId="8" xfId="3" applyBorder="1"/>
    <xf numFmtId="14" fontId="10" fillId="0" borderId="8" xfId="3" applyNumberFormat="1" applyBorder="1"/>
    <xf numFmtId="0" fontId="10" fillId="0" borderId="9" xfId="3" applyBorder="1"/>
    <xf numFmtId="0" fontId="6" fillId="0" borderId="0" xfId="0" applyFont="1" applyAlignment="1">
      <alignment horizontal="center" vertical="top"/>
    </xf>
    <xf numFmtId="167" fontId="6" fillId="0" borderId="4" xfId="0" applyNumberFormat="1" applyFont="1" applyBorder="1"/>
    <xf numFmtId="0" fontId="6" fillId="0" borderId="0" xfId="0" applyFont="1" applyBorder="1"/>
    <xf numFmtId="167" fontId="6" fillId="0" borderId="0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7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167" fontId="6" fillId="0" borderId="12" xfId="0" applyNumberFormat="1" applyFont="1" applyBorder="1"/>
    <xf numFmtId="0" fontId="6" fillId="0" borderId="11" xfId="0" applyFont="1" applyBorder="1"/>
    <xf numFmtId="0" fontId="11" fillId="0" borderId="0" xfId="0" applyFont="1"/>
    <xf numFmtId="0" fontId="12" fillId="0" borderId="0" xfId="0" applyFont="1"/>
    <xf numFmtId="167" fontId="13" fillId="0" borderId="0" xfId="0" applyNumberFormat="1" applyFont="1" applyFill="1" applyAlignment="1">
      <alignment wrapText="1"/>
    </xf>
    <xf numFmtId="0" fontId="13" fillId="0" borderId="0" xfId="0" applyFont="1" applyFill="1"/>
    <xf numFmtId="167" fontId="13" fillId="0" borderId="0" xfId="2" applyNumberFormat="1" applyFont="1" applyFill="1"/>
    <xf numFmtId="167" fontId="13" fillId="0" borderId="0" xfId="0" applyNumberFormat="1" applyFont="1" applyFill="1"/>
    <xf numFmtId="44" fontId="13" fillId="0" borderId="0" xfId="2" applyFont="1" applyFill="1"/>
    <xf numFmtId="167" fontId="12" fillId="0" borderId="0" xfId="0" applyNumberFormat="1" applyFont="1" applyFill="1" applyAlignment="1">
      <alignment wrapText="1"/>
    </xf>
    <xf numFmtId="0" fontId="13" fillId="0" borderId="0" xfId="0" applyFont="1" applyFill="1" applyAlignment="1">
      <alignment vertical="center" textRotation="90" wrapText="1"/>
    </xf>
    <xf numFmtId="0" fontId="14" fillId="0" borderId="0" xfId="0" applyFont="1" applyFill="1"/>
    <xf numFmtId="0" fontId="13" fillId="0" borderId="0" xfId="0" applyFont="1"/>
    <xf numFmtId="43" fontId="6" fillId="0" borderId="4" xfId="1" applyFont="1" applyBorder="1" applyAlignment="1">
      <alignment horizontal="center" wrapText="1"/>
    </xf>
    <xf numFmtId="43" fontId="6" fillId="0" borderId="0" xfId="1" applyFont="1" applyBorder="1" applyAlignment="1">
      <alignment horizontal="center" wrapText="1"/>
    </xf>
    <xf numFmtId="14" fontId="10" fillId="0" borderId="0" xfId="3" applyNumberFormat="1" applyBorder="1"/>
    <xf numFmtId="167" fontId="10" fillId="0" borderId="0" xfId="3" applyNumberFormat="1" applyAlignment="1">
      <alignment horizontal="right"/>
    </xf>
    <xf numFmtId="167" fontId="10" fillId="0" borderId="7" xfId="3" applyNumberFormat="1" applyBorder="1" applyAlignment="1">
      <alignment horizontal="right"/>
    </xf>
    <xf numFmtId="167" fontId="15" fillId="0" borderId="7" xfId="3" applyNumberFormat="1" applyFont="1" applyBorder="1" applyAlignment="1">
      <alignment horizontal="right"/>
    </xf>
    <xf numFmtId="0" fontId="10" fillId="0" borderId="0" xfId="3" applyNumberFormat="1"/>
    <xf numFmtId="167" fontId="10" fillId="0" borderId="0" xfId="3" applyNumberForma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0" fillId="0" borderId="0" xfId="0"/>
    <xf numFmtId="167" fontId="0" fillId="0" borderId="0" xfId="0" applyNumberFormat="1"/>
    <xf numFmtId="167" fontId="6" fillId="0" borderId="11" xfId="0" applyNumberFormat="1" applyFont="1" applyBorder="1"/>
    <xf numFmtId="167" fontId="6" fillId="0" borderId="10" xfId="0" applyNumberFormat="1" applyFont="1" applyBorder="1"/>
    <xf numFmtId="44" fontId="6" fillId="0" borderId="0" xfId="2" applyFont="1" applyFill="1"/>
    <xf numFmtId="0" fontId="6" fillId="0" borderId="0" xfId="0" applyFont="1" applyFill="1"/>
    <xf numFmtId="167" fontId="6" fillId="0" borderId="4" xfId="0" applyNumberFormat="1" applyFont="1" applyFill="1" applyBorder="1"/>
    <xf numFmtId="167" fontId="6" fillId="0" borderId="0" xfId="0" applyNumberFormat="1" applyFont="1" applyFill="1" applyBorder="1"/>
    <xf numFmtId="0" fontId="0" fillId="0" borderId="0" xfId="0" applyFill="1"/>
    <xf numFmtId="167" fontId="6" fillId="0" borderId="14" xfId="0" applyNumberFormat="1" applyFont="1" applyBorder="1"/>
    <xf numFmtId="167" fontId="7" fillId="0" borderId="4" xfId="0" applyNumberFormat="1" applyFont="1" applyBorder="1"/>
    <xf numFmtId="167" fontId="7" fillId="0" borderId="0" xfId="0" applyNumberFormat="1" applyFont="1" applyBorder="1"/>
    <xf numFmtId="167" fontId="7" fillId="0" borderId="4" xfId="0" applyNumberFormat="1" applyFont="1" applyFill="1" applyBorder="1"/>
    <xf numFmtId="167" fontId="7" fillId="0" borderId="0" xfId="0" applyNumberFormat="1" applyFont="1" applyFill="1" applyBorder="1"/>
    <xf numFmtId="167" fontId="7" fillId="0" borderId="15" xfId="0" applyNumberFormat="1" applyFont="1" applyBorder="1"/>
    <xf numFmtId="167" fontId="7" fillId="0" borderId="16" xfId="0" applyNumberFormat="1" applyFont="1" applyBorder="1"/>
    <xf numFmtId="167" fontId="7" fillId="0" borderId="14" xfId="0" applyNumberFormat="1" applyFont="1" applyBorder="1"/>
    <xf numFmtId="0" fontId="7" fillId="0" borderId="0" xfId="0" applyFont="1" applyAlignment="1">
      <alignment horizontal="right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 applyAlignment="1">
      <alignment horizontal="right"/>
    </xf>
    <xf numFmtId="167" fontId="10" fillId="0" borderId="0" xfId="3" applyNumberFormat="1" applyAlignment="1">
      <alignment horizontal="left"/>
    </xf>
    <xf numFmtId="0" fontId="10" fillId="0" borderId="0" xfId="3" applyNumberFormat="1" applyAlignment="1">
      <alignment horizontal="left"/>
    </xf>
    <xf numFmtId="0" fontId="10" fillId="0" borderId="0" xfId="3" applyNumberFormat="1" applyFont="1"/>
    <xf numFmtId="0" fontId="6" fillId="0" borderId="0" xfId="0" applyFont="1" applyFill="1" applyBorder="1"/>
    <xf numFmtId="0" fontId="6" fillId="0" borderId="4" xfId="0" applyFont="1" applyBorder="1"/>
    <xf numFmtId="14" fontId="6" fillId="2" borderId="4" xfId="0" applyNumberFormat="1" applyFont="1" applyFill="1" applyBorder="1" applyAlignment="1">
      <alignment horizontal="center"/>
    </xf>
    <xf numFmtId="12" fontId="6" fillId="0" borderId="0" xfId="2" applyNumberFormat="1" applyFont="1"/>
    <xf numFmtId="164" fontId="6" fillId="0" borderId="0" xfId="0" applyNumberFormat="1" applyFont="1" applyAlignment="1">
      <alignment horizontal="right" wrapText="1"/>
    </xf>
    <xf numFmtId="0" fontId="7" fillId="0" borderId="11" xfId="0" applyFont="1" applyBorder="1" applyAlignment="1">
      <alignment horizontal="center" vertical="center"/>
    </xf>
    <xf numFmtId="164" fontId="3" fillId="4" borderId="0" xfId="0" applyNumberFormat="1" applyFont="1" applyFill="1" applyAlignment="1">
      <alignment wrapText="1"/>
    </xf>
    <xf numFmtId="164" fontId="3" fillId="4" borderId="0" xfId="0" applyNumberFormat="1" applyFont="1" applyFill="1" applyAlignment="1">
      <alignment horizontal="right" wrapText="1"/>
    </xf>
    <xf numFmtId="0" fontId="6" fillId="4" borderId="0" xfId="0" applyFont="1" applyFill="1"/>
    <xf numFmtId="0" fontId="7" fillId="6" borderId="0" xfId="0" applyFont="1" applyFill="1"/>
    <xf numFmtId="167" fontId="7" fillId="6" borderId="0" xfId="0" applyNumberFormat="1" applyFont="1" applyFill="1" applyAlignment="1">
      <alignment horizontal="left" wrapText="1"/>
    </xf>
    <xf numFmtId="167" fontId="6" fillId="6" borderId="0" xfId="0" applyNumberFormat="1" applyFont="1" applyFill="1"/>
    <xf numFmtId="7" fontId="6" fillId="6" borderId="4" xfId="0" applyNumberFormat="1" applyFont="1" applyFill="1" applyBorder="1" applyAlignment="1">
      <alignment horizontal="right" wrapText="1"/>
    </xf>
    <xf numFmtId="14" fontId="6" fillId="6" borderId="0" xfId="0" applyNumberFormat="1" applyFont="1" applyFill="1" applyAlignment="1">
      <alignment horizontal="left"/>
    </xf>
    <xf numFmtId="7" fontId="6" fillId="6" borderId="0" xfId="0" applyNumberFormat="1" applyFont="1" applyFill="1"/>
    <xf numFmtId="0" fontId="7" fillId="7" borderId="0" xfId="0" applyFont="1" applyFill="1"/>
    <xf numFmtId="167" fontId="7" fillId="7" borderId="0" xfId="0" applyNumberFormat="1" applyFont="1" applyFill="1" applyAlignment="1">
      <alignment horizontal="left" wrapText="1"/>
    </xf>
    <xf numFmtId="0" fontId="0" fillId="7" borderId="0" xfId="0" applyFill="1"/>
    <xf numFmtId="167" fontId="7" fillId="7" borderId="4" xfId="0" applyNumberFormat="1" applyFont="1" applyFill="1" applyBorder="1" applyAlignment="1">
      <alignment horizontal="right" wrapText="1"/>
    </xf>
    <xf numFmtId="14" fontId="6" fillId="7" borderId="0" xfId="0" applyNumberFormat="1" applyFont="1" applyFill="1" applyAlignment="1">
      <alignment horizontal="left"/>
    </xf>
    <xf numFmtId="7" fontId="6" fillId="7" borderId="0" xfId="0" applyNumberFormat="1" applyFont="1" applyFill="1"/>
    <xf numFmtId="167" fontId="7" fillId="7" borderId="4" xfId="0" applyNumberFormat="1" applyFont="1" applyFill="1" applyBorder="1" applyAlignment="1">
      <alignment vertical="center" wrapText="1"/>
    </xf>
    <xf numFmtId="0" fontId="7" fillId="4" borderId="0" xfId="0" applyFont="1" applyFill="1"/>
    <xf numFmtId="167" fontId="7" fillId="4" borderId="0" xfId="0" applyNumberFormat="1" applyFont="1" applyFill="1" applyAlignment="1">
      <alignment horizontal="left" wrapText="1"/>
    </xf>
    <xf numFmtId="167" fontId="6" fillId="4" borderId="0" xfId="0" applyNumberFormat="1" applyFont="1" applyFill="1"/>
    <xf numFmtId="7" fontId="7" fillId="4" borderId="4" xfId="0" applyNumberFormat="1" applyFont="1" applyFill="1" applyBorder="1" applyAlignment="1">
      <alignment horizontal="right" wrapText="1"/>
    </xf>
    <xf numFmtId="14" fontId="6" fillId="4" borderId="0" xfId="0" applyNumberFormat="1" applyFont="1" applyFill="1" applyAlignment="1">
      <alignment horizontal="left"/>
    </xf>
    <xf numFmtId="7" fontId="6" fillId="4" borderId="0" xfId="0" applyNumberFormat="1" applyFont="1" applyFill="1"/>
    <xf numFmtId="167" fontId="7" fillId="4" borderId="0" xfId="0" applyNumberFormat="1" applyFont="1" applyFill="1" applyAlignment="1">
      <alignment wrapText="1"/>
    </xf>
    <xf numFmtId="167" fontId="6" fillId="7" borderId="0" xfId="0" applyNumberFormat="1" applyFont="1" applyFill="1"/>
    <xf numFmtId="7" fontId="7" fillId="7" borderId="4" xfId="0" applyNumberFormat="1" applyFont="1" applyFill="1" applyBorder="1" applyAlignment="1">
      <alignment horizontal="right" wrapText="1"/>
    </xf>
    <xf numFmtId="7" fontId="6" fillId="7" borderId="0" xfId="0" applyNumberFormat="1" applyFont="1" applyFill="1" applyAlignment="1">
      <alignment horizontal="right" wrapText="1"/>
    </xf>
    <xf numFmtId="0" fontId="16" fillId="0" borderId="0" xfId="4"/>
    <xf numFmtId="4" fontId="13" fillId="0" borderId="0" xfId="4" applyNumberFormat="1" applyFont="1" applyAlignment="1">
      <alignment horizontal="right" wrapText="1"/>
    </xf>
    <xf numFmtId="0" fontId="13" fillId="0" borderId="0" xfId="4" applyFont="1" applyAlignment="1">
      <alignment horizontal="left" wrapText="1"/>
    </xf>
    <xf numFmtId="0" fontId="12" fillId="0" borderId="0" xfId="4" applyFont="1"/>
    <xf numFmtId="44" fontId="12" fillId="0" borderId="0" xfId="4" applyNumberFormat="1" applyFont="1"/>
    <xf numFmtId="44" fontId="13" fillId="0" borderId="18" xfId="4" applyNumberFormat="1" applyFont="1" applyBorder="1"/>
    <xf numFmtId="44" fontId="13" fillId="0" borderId="19" xfId="4" applyNumberFormat="1" applyFont="1" applyBorder="1"/>
    <xf numFmtId="0" fontId="13" fillId="0" borderId="19" xfId="4" applyFont="1" applyBorder="1" applyAlignment="1">
      <alignment horizontal="right"/>
    </xf>
    <xf numFmtId="4" fontId="13" fillId="0" borderId="20" xfId="4" applyNumberFormat="1" applyFont="1" applyBorder="1" applyAlignment="1">
      <alignment horizontal="right" wrapText="1"/>
    </xf>
    <xf numFmtId="0" fontId="13" fillId="0" borderId="20" xfId="4" applyFont="1" applyBorder="1" applyAlignment="1">
      <alignment horizontal="left" wrapText="1"/>
    </xf>
    <xf numFmtId="0" fontId="13" fillId="0" borderId="19" xfId="4" applyFont="1" applyBorder="1" applyAlignment="1">
      <alignment horizontal="left" wrapText="1"/>
    </xf>
    <xf numFmtId="0" fontId="13" fillId="0" borderId="21" xfId="4" applyFont="1" applyBorder="1" applyAlignment="1">
      <alignment horizontal="left" wrapText="1"/>
    </xf>
    <xf numFmtId="14" fontId="13" fillId="0" borderId="22" xfId="4" applyNumberFormat="1" applyFont="1" applyBorder="1" applyAlignment="1">
      <alignment horizontal="left" wrapText="1"/>
    </xf>
    <xf numFmtId="44" fontId="13" fillId="0" borderId="23" xfId="4" applyNumberFormat="1" applyFont="1" applyBorder="1"/>
    <xf numFmtId="44" fontId="13" fillId="0" borderId="7" xfId="4" applyNumberFormat="1" applyFont="1" applyBorder="1"/>
    <xf numFmtId="0" fontId="13" fillId="0" borderId="7" xfId="4" applyFont="1" applyBorder="1" applyAlignment="1">
      <alignment horizontal="right"/>
    </xf>
    <xf numFmtId="4" fontId="13" fillId="0" borderId="24" xfId="4" applyNumberFormat="1" applyFont="1" applyBorder="1" applyAlignment="1">
      <alignment horizontal="right" wrapText="1"/>
    </xf>
    <xf numFmtId="0" fontId="13" fillId="0" borderId="24" xfId="4" applyFont="1" applyBorder="1" applyAlignment="1">
      <alignment horizontal="left" wrapText="1"/>
    </xf>
    <xf numFmtId="0" fontId="13" fillId="0" borderId="7" xfId="4" applyFont="1" applyBorder="1" applyAlignment="1">
      <alignment horizontal="left" wrapText="1"/>
    </xf>
    <xf numFmtId="0" fontId="13" fillId="0" borderId="25" xfId="4" applyFont="1" applyBorder="1" applyAlignment="1">
      <alignment horizontal="left" wrapText="1"/>
    </xf>
    <xf numFmtId="14" fontId="13" fillId="0" borderId="26" xfId="4" applyNumberFormat="1" applyFont="1" applyBorder="1" applyAlignment="1">
      <alignment horizontal="left" wrapText="1"/>
    </xf>
    <xf numFmtId="0" fontId="17" fillId="0" borderId="0" xfId="4" applyFont="1"/>
    <xf numFmtId="44" fontId="13" fillId="0" borderId="27" xfId="5" applyFont="1" applyBorder="1"/>
    <xf numFmtId="44" fontId="13" fillId="0" borderId="28" xfId="5" applyFont="1" applyBorder="1"/>
    <xf numFmtId="44" fontId="13" fillId="0" borderId="28" xfId="5" applyFont="1" applyBorder="1" applyAlignment="1">
      <alignment horizontal="right"/>
    </xf>
    <xf numFmtId="44" fontId="13" fillId="0" borderId="29" xfId="5" applyFont="1" applyBorder="1" applyAlignment="1">
      <alignment horizontal="right" wrapText="1"/>
    </xf>
    <xf numFmtId="0" fontId="13" fillId="0" borderId="29" xfId="4" applyFont="1" applyBorder="1" applyAlignment="1">
      <alignment horizontal="left" wrapText="1"/>
    </xf>
    <xf numFmtId="0" fontId="13" fillId="0" borderId="28" xfId="4" applyFont="1" applyBorder="1" applyAlignment="1">
      <alignment horizontal="left" wrapText="1"/>
    </xf>
    <xf numFmtId="0" fontId="13" fillId="0" borderId="30" xfId="4" applyFont="1" applyBorder="1" applyAlignment="1">
      <alignment horizontal="left" wrapText="1"/>
    </xf>
    <xf numFmtId="14" fontId="13" fillId="0" borderId="31" xfId="4" applyNumberFormat="1" applyFont="1" applyBorder="1" applyAlignment="1">
      <alignment horizontal="left" wrapText="1"/>
    </xf>
    <xf numFmtId="0" fontId="13" fillId="0" borderId="0" xfId="4" applyFont="1"/>
    <xf numFmtId="44" fontId="13" fillId="2" borderId="32" xfId="5" applyFont="1" applyFill="1" applyBorder="1"/>
    <xf numFmtId="44" fontId="13" fillId="0" borderId="17" xfId="5" applyFont="1" applyBorder="1" applyAlignment="1">
      <alignment horizontal="right" wrapText="1"/>
    </xf>
    <xf numFmtId="0" fontId="13" fillId="0" borderId="33" xfId="4" applyFont="1" applyBorder="1" applyAlignment="1">
      <alignment horizontal="left" wrapText="1"/>
    </xf>
    <xf numFmtId="0" fontId="12" fillId="0" borderId="17" xfId="4" applyFont="1" applyBorder="1" applyAlignment="1">
      <alignment horizontal="center" wrapText="1"/>
    </xf>
    <xf numFmtId="0" fontId="12" fillId="0" borderId="33" xfId="4" applyFont="1" applyBorder="1" applyAlignment="1">
      <alignment horizontal="center" wrapText="1"/>
    </xf>
    <xf numFmtId="0" fontId="12" fillId="0" borderId="34" xfId="4" applyFont="1" applyBorder="1" applyAlignment="1">
      <alignment horizontal="center" wrapText="1"/>
    </xf>
    <xf numFmtId="0" fontId="13" fillId="0" borderId="18" xfId="4" applyFont="1" applyBorder="1"/>
    <xf numFmtId="0" fontId="13" fillId="0" borderId="20" xfId="4" applyFont="1" applyBorder="1"/>
    <xf numFmtId="0" fontId="13" fillId="0" borderId="5" xfId="4" applyFont="1" applyBorder="1"/>
    <xf numFmtId="44" fontId="13" fillId="0" borderId="5" xfId="5" applyFont="1" applyBorder="1" applyAlignment="1">
      <alignment horizontal="right" wrapText="1"/>
    </xf>
    <xf numFmtId="0" fontId="13" fillId="0" borderId="5" xfId="4" applyFont="1" applyBorder="1" applyAlignment="1">
      <alignment horizontal="left" wrapText="1"/>
    </xf>
    <xf numFmtId="0" fontId="13" fillId="0" borderId="8" xfId="4" applyFont="1" applyBorder="1" applyAlignment="1">
      <alignment horizontal="left" wrapText="1"/>
    </xf>
    <xf numFmtId="0" fontId="13" fillId="8" borderId="8" xfId="4" applyFont="1" applyFill="1" applyBorder="1" applyAlignment="1">
      <alignment horizontal="left" wrapText="1"/>
    </xf>
    <xf numFmtId="0" fontId="13" fillId="0" borderId="3" xfId="4" applyFont="1" applyBorder="1" applyAlignment="1">
      <alignment horizontal="left" wrapText="1"/>
    </xf>
    <xf numFmtId="14" fontId="13" fillId="0" borderId="35" xfId="4" applyNumberFormat="1" applyFont="1" applyBorder="1" applyAlignment="1">
      <alignment horizontal="left" wrapText="1"/>
    </xf>
    <xf numFmtId="44" fontId="13" fillId="0" borderId="23" xfId="5" applyFont="1" applyBorder="1"/>
    <xf numFmtId="44" fontId="13" fillId="0" borderId="24" xfId="5" applyFont="1" applyBorder="1"/>
    <xf numFmtId="44" fontId="13" fillId="0" borderId="24" xfId="5" applyFont="1" applyBorder="1" applyAlignment="1">
      <alignment horizontal="right"/>
    </xf>
    <xf numFmtId="44" fontId="13" fillId="0" borderId="24" xfId="5" applyFont="1" applyBorder="1" applyAlignment="1">
      <alignment horizontal="right" wrapText="1"/>
    </xf>
    <xf numFmtId="0" fontId="13" fillId="0" borderId="26" xfId="4" applyFont="1" applyBorder="1" applyAlignment="1">
      <alignment horizontal="left" wrapText="1"/>
    </xf>
    <xf numFmtId="44" fontId="13" fillId="0" borderId="36" xfId="5" applyFont="1" applyBorder="1"/>
    <xf numFmtId="44" fontId="13" fillId="0" borderId="6" xfId="5" applyFont="1" applyBorder="1"/>
    <xf numFmtId="44" fontId="13" fillId="0" borderId="6" xfId="5" applyFont="1" applyBorder="1" applyAlignment="1">
      <alignment horizontal="right" wrapText="1"/>
    </xf>
    <xf numFmtId="0" fontId="13" fillId="0" borderId="6" xfId="4" applyFont="1" applyBorder="1" applyAlignment="1">
      <alignment horizontal="left" wrapText="1"/>
    </xf>
    <xf numFmtId="0" fontId="13" fillId="0" borderId="37" xfId="4" applyFont="1" applyBorder="1" applyAlignment="1">
      <alignment horizontal="left" wrapText="1"/>
    </xf>
    <xf numFmtId="0" fontId="13" fillId="0" borderId="1" xfId="4" applyFont="1" applyBorder="1" applyAlignment="1">
      <alignment horizontal="left" wrapText="1"/>
    </xf>
    <xf numFmtId="0" fontId="13" fillId="0" borderId="38" xfId="4" applyFont="1" applyBorder="1" applyAlignment="1">
      <alignment horizontal="left" wrapText="1"/>
    </xf>
    <xf numFmtId="0" fontId="12" fillId="0" borderId="39" xfId="4" applyFont="1" applyBorder="1" applyAlignment="1">
      <alignment horizontal="center" vertical="center" wrapText="1"/>
    </xf>
    <xf numFmtId="0" fontId="12" fillId="0" borderId="17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wrapText="1"/>
    </xf>
    <xf numFmtId="0" fontId="0" fillId="0" borderId="0" xfId="0"/>
    <xf numFmtId="0" fontId="7" fillId="9" borderId="0" xfId="0" applyFont="1" applyFill="1"/>
    <xf numFmtId="167" fontId="7" fillId="9" borderId="0" xfId="0" applyNumberFormat="1" applyFont="1" applyFill="1" applyAlignment="1">
      <alignment horizontal="left" wrapText="1"/>
    </xf>
    <xf numFmtId="167" fontId="6" fillId="9" borderId="0" xfId="0" applyNumberFormat="1" applyFont="1" applyFill="1"/>
    <xf numFmtId="7" fontId="6" fillId="9" borderId="4" xfId="0" applyNumberFormat="1" applyFont="1" applyFill="1" applyBorder="1" applyAlignment="1">
      <alignment horizontal="right" wrapText="1"/>
    </xf>
    <xf numFmtId="14" fontId="6" fillId="9" borderId="0" xfId="0" applyNumberFormat="1" applyFont="1" applyFill="1" applyAlignment="1">
      <alignment horizontal="left"/>
    </xf>
    <xf numFmtId="7" fontId="6" fillId="9" borderId="0" xfId="0" applyNumberFormat="1" applyFont="1" applyFill="1"/>
    <xf numFmtId="0" fontId="0" fillId="0" borderId="25" xfId="0" applyBorder="1" applyAlignment="1">
      <alignment wrapText="1"/>
    </xf>
    <xf numFmtId="0" fontId="1" fillId="0" borderId="25" xfId="0" applyFont="1" applyBorder="1" applyAlignment="1">
      <alignment horizontal="center" wrapText="1"/>
    </xf>
    <xf numFmtId="0" fontId="7" fillId="0" borderId="25" xfId="0" applyFont="1" applyFill="1" applyBorder="1" applyAlignment="1">
      <alignment horizontal="center" wrapText="1"/>
    </xf>
    <xf numFmtId="164" fontId="3" fillId="0" borderId="0" xfId="0" applyNumberFormat="1" applyFont="1" applyFill="1" applyAlignment="1">
      <alignment horizontal="right" wrapText="1"/>
    </xf>
    <xf numFmtId="164" fontId="3" fillId="0" borderId="0" xfId="0" applyNumberFormat="1" applyFont="1" applyFill="1" applyAlignment="1">
      <alignment wrapText="1"/>
    </xf>
    <xf numFmtId="164" fontId="3" fillId="5" borderId="0" xfId="0" applyNumberFormat="1" applyFont="1" applyFill="1" applyAlignment="1">
      <alignment wrapText="1"/>
    </xf>
    <xf numFmtId="164" fontId="3" fillId="5" borderId="0" xfId="0" applyNumberFormat="1" applyFont="1" applyFill="1" applyAlignment="1">
      <alignment horizontal="right" wrapText="1"/>
    </xf>
    <xf numFmtId="0" fontId="6" fillId="5" borderId="0" xfId="0" applyFont="1" applyFill="1"/>
    <xf numFmtId="0" fontId="11" fillId="10" borderId="0" xfId="0" applyFont="1" applyFill="1"/>
    <xf numFmtId="0" fontId="12" fillId="10" borderId="0" xfId="0" applyFont="1" applyFill="1"/>
    <xf numFmtId="0" fontId="7" fillId="10" borderId="0" xfId="0" applyFont="1" applyFill="1"/>
    <xf numFmtId="44" fontId="7" fillId="10" borderId="0" xfId="2" applyFont="1" applyFill="1"/>
    <xf numFmtId="0" fontId="6" fillId="10" borderId="0" xfId="0" applyFont="1" applyFill="1"/>
    <xf numFmtId="0" fontId="8" fillId="10" borderId="0" xfId="0" applyFont="1" applyFill="1" applyAlignment="1">
      <alignment horizontal="center"/>
    </xf>
    <xf numFmtId="7" fontId="7" fillId="2" borderId="1" xfId="0" applyNumberFormat="1" applyFont="1" applyFill="1" applyBorder="1" applyAlignment="1">
      <alignment horizontal="center" vertical="center" wrapText="1"/>
    </xf>
    <xf numFmtId="167" fontId="7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 wrapText="1"/>
    </xf>
    <xf numFmtId="7" fontId="6" fillId="0" borderId="4" xfId="0" applyNumberFormat="1" applyFont="1" applyBorder="1" applyAlignment="1">
      <alignment horizontal="right" vertical="center" wrapText="1"/>
    </xf>
    <xf numFmtId="14" fontId="6" fillId="0" borderId="0" xfId="0" applyNumberFormat="1" applyFont="1" applyAlignment="1">
      <alignment horizontal="left" vertical="center" wrapText="1"/>
    </xf>
    <xf numFmtId="7" fontId="6" fillId="0" borderId="0" xfId="0" applyNumberFormat="1" applyFont="1" applyAlignment="1">
      <alignment vertical="center"/>
    </xf>
    <xf numFmtId="167" fontId="7" fillId="0" borderId="0" xfId="0" applyNumberFormat="1" applyFont="1" applyAlignment="1">
      <alignment horizontal="left" vertical="center" wrapText="1"/>
    </xf>
    <xf numFmtId="167" fontId="6" fillId="0" borderId="0" xfId="0" applyNumberFormat="1" applyFont="1" applyAlignment="1">
      <alignment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4" fontId="7" fillId="0" borderId="0" xfId="0" applyNumberFormat="1" applyFont="1" applyAlignment="1">
      <alignment horizontal="right" vertical="center"/>
    </xf>
    <xf numFmtId="167" fontId="7" fillId="4" borderId="0" xfId="0" applyNumberFormat="1" applyFont="1" applyFill="1" applyAlignment="1">
      <alignment vertical="center" wrapText="1"/>
    </xf>
    <xf numFmtId="7" fontId="7" fillId="4" borderId="4" xfId="0" applyNumberFormat="1" applyFont="1" applyFill="1" applyBorder="1" applyAlignment="1">
      <alignment horizontal="right" vertical="center" wrapText="1"/>
    </xf>
    <xf numFmtId="14" fontId="6" fillId="4" borderId="0" xfId="0" applyNumberFormat="1" applyFont="1" applyFill="1" applyAlignment="1">
      <alignment horizontal="left" vertical="center"/>
    </xf>
    <xf numFmtId="7" fontId="6" fillId="4" borderId="0" xfId="0" applyNumberFormat="1" applyFont="1" applyFill="1" applyAlignment="1">
      <alignment vertical="center"/>
    </xf>
    <xf numFmtId="167" fontId="7" fillId="9" borderId="0" xfId="0" applyNumberFormat="1" applyFont="1" applyFill="1" applyAlignment="1">
      <alignment horizontal="left" vertical="center" wrapText="1"/>
    </xf>
    <xf numFmtId="167" fontId="6" fillId="9" borderId="0" xfId="0" applyNumberFormat="1" applyFont="1" applyFill="1" applyAlignment="1">
      <alignment vertical="center"/>
    </xf>
    <xf numFmtId="7" fontId="6" fillId="9" borderId="4" xfId="0" applyNumberFormat="1" applyFont="1" applyFill="1" applyBorder="1" applyAlignment="1">
      <alignment horizontal="right" vertical="center" wrapText="1"/>
    </xf>
    <xf numFmtId="14" fontId="6" fillId="9" borderId="0" xfId="0" applyNumberFormat="1" applyFont="1" applyFill="1" applyAlignment="1">
      <alignment horizontal="left" vertical="center"/>
    </xf>
    <xf numFmtId="7" fontId="6" fillId="9" borderId="0" xfId="0" applyNumberFormat="1" applyFont="1" applyFill="1" applyAlignment="1">
      <alignment vertical="center"/>
    </xf>
    <xf numFmtId="167" fontId="7" fillId="0" borderId="0" xfId="0" applyNumberFormat="1" applyFont="1" applyFill="1" applyAlignment="1">
      <alignment horizontal="left" vertical="center" wrapText="1"/>
    </xf>
    <xf numFmtId="167" fontId="6" fillId="0" borderId="0" xfId="0" applyNumberFormat="1" applyFont="1" applyFill="1" applyAlignment="1">
      <alignment vertical="center"/>
    </xf>
    <xf numFmtId="7" fontId="6" fillId="0" borderId="4" xfId="0" applyNumberFormat="1" applyFont="1" applyFill="1" applyBorder="1" applyAlignment="1">
      <alignment horizontal="right" vertical="center" wrapText="1"/>
    </xf>
    <xf numFmtId="14" fontId="7" fillId="0" borderId="0" xfId="0" applyNumberFormat="1" applyFont="1" applyFill="1" applyAlignment="1">
      <alignment horizontal="right" vertical="center"/>
    </xf>
    <xf numFmtId="14" fontId="6" fillId="0" borderId="0" xfId="0" applyNumberFormat="1" applyFont="1" applyFill="1" applyAlignment="1">
      <alignment horizontal="left" vertical="center"/>
    </xf>
    <xf numFmtId="167" fontId="7" fillId="6" borderId="0" xfId="0" applyNumberFormat="1" applyFont="1" applyFill="1" applyAlignment="1">
      <alignment horizontal="left" vertical="center" wrapText="1"/>
    </xf>
    <xf numFmtId="167" fontId="6" fillId="6" borderId="0" xfId="0" applyNumberFormat="1" applyFont="1" applyFill="1" applyAlignment="1">
      <alignment vertical="center"/>
    </xf>
    <xf numFmtId="7" fontId="6" fillId="6" borderId="4" xfId="0" applyNumberFormat="1" applyFont="1" applyFill="1" applyBorder="1" applyAlignment="1">
      <alignment horizontal="right" vertical="center" wrapText="1"/>
    </xf>
    <xf numFmtId="14" fontId="6" fillId="6" borderId="0" xfId="0" applyNumberFormat="1" applyFont="1" applyFill="1" applyAlignment="1">
      <alignment horizontal="left" vertical="center"/>
    </xf>
    <xf numFmtId="7" fontId="6" fillId="6" borderId="0" xfId="0" applyNumberFormat="1" applyFont="1" applyFill="1" applyAlignment="1">
      <alignment vertical="center"/>
    </xf>
    <xf numFmtId="167" fontId="7" fillId="7" borderId="0" xfId="0" applyNumberFormat="1" applyFont="1" applyFill="1" applyAlignment="1">
      <alignment horizontal="left" vertical="center" wrapText="1"/>
    </xf>
    <xf numFmtId="0" fontId="0" fillId="7" borderId="0" xfId="0" applyFill="1" applyAlignment="1">
      <alignment vertical="center"/>
    </xf>
    <xf numFmtId="167" fontId="7" fillId="7" borderId="4" xfId="0" applyNumberFormat="1" applyFont="1" applyFill="1" applyBorder="1" applyAlignment="1">
      <alignment horizontal="right" vertical="center" wrapText="1"/>
    </xf>
    <xf numFmtId="14" fontId="6" fillId="7" borderId="0" xfId="0" applyNumberFormat="1" applyFont="1" applyFill="1" applyAlignment="1">
      <alignment horizontal="left" vertical="center"/>
    </xf>
    <xf numFmtId="7" fontId="6" fillId="7" borderId="0" xfId="0" applyNumberFormat="1" applyFont="1" applyFill="1" applyAlignment="1">
      <alignment vertical="center"/>
    </xf>
    <xf numFmtId="167" fontId="7" fillId="4" borderId="0" xfId="0" applyNumberFormat="1" applyFont="1" applyFill="1" applyAlignment="1">
      <alignment horizontal="left" vertical="center" wrapText="1"/>
    </xf>
    <xf numFmtId="167" fontId="6" fillId="4" borderId="0" xfId="0" applyNumberFormat="1" applyFont="1" applyFill="1" applyAlignment="1">
      <alignment vertical="center"/>
    </xf>
    <xf numFmtId="167" fontId="6" fillId="7" borderId="0" xfId="0" applyNumberFormat="1" applyFont="1" applyFill="1" applyAlignment="1">
      <alignment vertical="center"/>
    </xf>
    <xf numFmtId="7" fontId="7" fillId="7" borderId="4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left" vertical="center" wrapText="1"/>
    </xf>
    <xf numFmtId="167" fontId="6" fillId="0" borderId="0" xfId="0" applyNumberFormat="1" applyFont="1" applyFill="1" applyAlignment="1">
      <alignment vertical="center" wrapText="1"/>
    </xf>
    <xf numFmtId="7" fontId="6" fillId="7" borderId="0" xfId="0" applyNumberFormat="1" applyFont="1" applyFill="1" applyAlignment="1">
      <alignment horizontal="right" vertical="center" wrapText="1"/>
    </xf>
    <xf numFmtId="167" fontId="6" fillId="9" borderId="1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4" borderId="0" xfId="0" applyFont="1" applyFill="1" applyAlignment="1">
      <alignment vertical="center"/>
    </xf>
    <xf numFmtId="167" fontId="7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167" fontId="6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vertical="center"/>
    </xf>
    <xf numFmtId="166" fontId="6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14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4" fontId="7" fillId="0" borderId="0" xfId="2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44" fontId="6" fillId="0" borderId="0" xfId="2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7" fontId="13" fillId="0" borderId="0" xfId="0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167" fontId="13" fillId="0" borderId="0" xfId="2" applyNumberFormat="1" applyFont="1" applyFill="1" applyAlignment="1">
      <alignment vertical="center"/>
    </xf>
    <xf numFmtId="167" fontId="6" fillId="0" borderId="4" xfId="0" applyNumberFormat="1" applyFont="1" applyBorder="1" applyAlignment="1">
      <alignment vertical="center"/>
    </xf>
    <xf numFmtId="167" fontId="6" fillId="0" borderId="0" xfId="0" applyNumberFormat="1" applyFont="1" applyBorder="1" applyAlignment="1">
      <alignment vertical="center"/>
    </xf>
    <xf numFmtId="167" fontId="13" fillId="0" borderId="0" xfId="0" applyNumberFormat="1" applyFont="1" applyFill="1" applyAlignment="1">
      <alignment vertical="center"/>
    </xf>
    <xf numFmtId="167" fontId="6" fillId="0" borderId="10" xfId="0" applyNumberFormat="1" applyFont="1" applyBorder="1" applyAlignment="1">
      <alignment vertical="center"/>
    </xf>
    <xf numFmtId="167" fontId="6" fillId="0" borderId="11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7" fontId="7" fillId="0" borderId="4" xfId="0" applyNumberFormat="1" applyFont="1" applyBorder="1" applyAlignment="1">
      <alignment vertical="center"/>
    </xf>
    <xf numFmtId="167" fontId="7" fillId="0" borderId="0" xfId="0" applyNumberFormat="1" applyFont="1" applyBorder="1" applyAlignment="1">
      <alignment vertical="center"/>
    </xf>
    <xf numFmtId="167" fontId="6" fillId="0" borderId="14" xfId="0" applyNumberFormat="1" applyFont="1" applyBorder="1" applyAlignment="1">
      <alignment vertical="center"/>
    </xf>
    <xf numFmtId="44" fontId="13" fillId="0" borderId="0" xfId="2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12" fontId="6" fillId="0" borderId="0" xfId="2" applyNumberFormat="1" applyFont="1" applyAlignment="1">
      <alignment vertical="center"/>
    </xf>
    <xf numFmtId="44" fontId="6" fillId="0" borderId="4" xfId="0" applyNumberFormat="1" applyFont="1" applyBorder="1" applyAlignment="1">
      <alignment vertical="center"/>
    </xf>
    <xf numFmtId="0" fontId="7" fillId="4" borderId="0" xfId="0" applyFont="1" applyFill="1" applyAlignment="1">
      <alignment vertical="center"/>
    </xf>
    <xf numFmtId="167" fontId="12" fillId="0" borderId="0" xfId="0" applyNumberFormat="1" applyFont="1" applyFill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7" fillId="9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4" fontId="6" fillId="0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167" fontId="7" fillId="0" borderId="4" xfId="0" applyNumberFormat="1" applyFont="1" applyFill="1" applyBorder="1" applyAlignment="1">
      <alignment vertical="center"/>
    </xf>
    <xf numFmtId="167" fontId="7" fillId="0" borderId="0" xfId="0" applyNumberFormat="1" applyFont="1" applyFill="1" applyBorder="1" applyAlignment="1">
      <alignment vertical="center"/>
    </xf>
    <xf numFmtId="167" fontId="6" fillId="0" borderId="4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167" fontId="7" fillId="0" borderId="15" xfId="0" applyNumberFormat="1" applyFont="1" applyBorder="1" applyAlignment="1">
      <alignment vertical="center"/>
    </xf>
    <xf numFmtId="167" fontId="7" fillId="0" borderId="16" xfId="0" applyNumberFormat="1" applyFont="1" applyBorder="1" applyAlignment="1">
      <alignment vertical="center"/>
    </xf>
    <xf numFmtId="167" fontId="7" fillId="0" borderId="14" xfId="0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0" fontId="7" fillId="5" borderId="0" xfId="0" applyFont="1" applyFill="1" applyAlignment="1">
      <alignment vertical="center"/>
    </xf>
    <xf numFmtId="167" fontId="7" fillId="5" borderId="0" xfId="0" applyNumberFormat="1" applyFont="1" applyFill="1" applyAlignment="1">
      <alignment horizontal="left" vertical="center" wrapText="1"/>
    </xf>
    <xf numFmtId="167" fontId="6" fillId="5" borderId="0" xfId="0" applyNumberFormat="1" applyFont="1" applyFill="1" applyAlignment="1">
      <alignment vertical="center"/>
    </xf>
    <xf numFmtId="7" fontId="6" fillId="5" borderId="4" xfId="0" applyNumberFormat="1" applyFont="1" applyFill="1" applyBorder="1" applyAlignment="1">
      <alignment horizontal="right" vertical="center" wrapText="1"/>
    </xf>
    <xf numFmtId="14" fontId="6" fillId="5" borderId="0" xfId="0" applyNumberFormat="1" applyFont="1" applyFill="1" applyAlignment="1">
      <alignment horizontal="left" vertical="center"/>
    </xf>
    <xf numFmtId="7" fontId="6" fillId="5" borderId="0" xfId="0" applyNumberFormat="1" applyFont="1" applyFill="1" applyAlignment="1">
      <alignment vertical="center"/>
    </xf>
    <xf numFmtId="0" fontId="6" fillId="0" borderId="13" xfId="0" applyFont="1" applyBorder="1" applyAlignment="1">
      <alignment vertical="center"/>
    </xf>
    <xf numFmtId="14" fontId="6" fillId="2" borderId="3" xfId="0" applyNumberFormat="1" applyFont="1" applyFill="1" applyBorder="1" applyAlignment="1">
      <alignment horizontal="center"/>
    </xf>
    <xf numFmtId="0" fontId="13" fillId="0" borderId="3" xfId="0" applyFont="1" applyBorder="1"/>
    <xf numFmtId="0" fontId="6" fillId="0" borderId="3" xfId="0" applyFont="1" applyBorder="1"/>
    <xf numFmtId="44" fontId="6" fillId="0" borderId="3" xfId="2" applyFont="1" applyBorder="1"/>
    <xf numFmtId="14" fontId="6" fillId="2" borderId="5" xfId="0" applyNumberFormat="1" applyFont="1" applyFill="1" applyBorder="1" applyAlignment="1">
      <alignment horizontal="center"/>
    </xf>
    <xf numFmtId="14" fontId="6" fillId="2" borderId="3" xfId="0" applyNumberFormat="1" applyFont="1" applyFill="1" applyBorder="1"/>
    <xf numFmtId="14" fontId="6" fillId="2" borderId="41" xfId="0" applyNumberFormat="1" applyFont="1" applyFill="1" applyBorder="1"/>
    <xf numFmtId="14" fontId="6" fillId="2" borderId="1" xfId="0" applyNumberFormat="1" applyFont="1" applyFill="1" applyBorder="1" applyAlignment="1">
      <alignment horizontal="center"/>
    </xf>
    <xf numFmtId="0" fontId="13" fillId="0" borderId="1" xfId="0" applyFont="1" applyBorder="1"/>
    <xf numFmtId="44" fontId="6" fillId="0" borderId="1" xfId="2" applyFont="1" applyBorder="1"/>
    <xf numFmtId="14" fontId="6" fillId="2" borderId="6" xfId="0" applyNumberFormat="1" applyFont="1" applyFill="1" applyBorder="1" applyAlignment="1">
      <alignment horizontal="center"/>
    </xf>
    <xf numFmtId="14" fontId="6" fillId="2" borderId="1" xfId="0" applyNumberFormat="1" applyFont="1" applyFill="1" applyBorder="1"/>
    <xf numFmtId="14" fontId="6" fillId="2" borderId="42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0" xfId="0" applyFont="1" applyBorder="1"/>
    <xf numFmtId="44" fontId="6" fillId="0" borderId="0" xfId="2" applyFont="1" applyBorder="1"/>
    <xf numFmtId="0" fontId="7" fillId="0" borderId="42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167" fontId="6" fillId="0" borderId="0" xfId="0" applyNumberFormat="1" applyFont="1" applyBorder="1" applyAlignment="1">
      <alignment horizontal="right"/>
    </xf>
    <xf numFmtId="0" fontId="6" fillId="0" borderId="43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43" xfId="0" applyFont="1" applyBorder="1"/>
    <xf numFmtId="0" fontId="7" fillId="0" borderId="4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167" fontId="7" fillId="0" borderId="33" xfId="0" applyNumberFormat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167" fontId="6" fillId="0" borderId="55" xfId="0" applyNumberFormat="1" applyFont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167" fontId="6" fillId="0" borderId="11" xfId="0" applyNumberFormat="1" applyFont="1" applyBorder="1" applyAlignment="1">
      <alignment horizontal="center" vertical="center"/>
    </xf>
    <xf numFmtId="167" fontId="6" fillId="0" borderId="48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167" fontId="6" fillId="0" borderId="49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7" fontId="6" fillId="0" borderId="51" xfId="0" applyNumberFormat="1" applyFont="1" applyBorder="1" applyAlignment="1">
      <alignment horizontal="center" vertical="center"/>
    </xf>
    <xf numFmtId="167" fontId="6" fillId="0" borderId="4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7" fontId="6" fillId="0" borderId="52" xfId="0" applyNumberFormat="1" applyFont="1" applyBorder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11" borderId="0" xfId="0" applyFont="1" applyFill="1" applyAlignment="1">
      <alignment vertical="center"/>
    </xf>
    <xf numFmtId="0" fontId="21" fillId="11" borderId="0" xfId="0" applyFont="1" applyFill="1" applyAlignment="1">
      <alignment vertical="center"/>
    </xf>
    <xf numFmtId="167" fontId="6" fillId="11" borderId="0" xfId="0" applyNumberFormat="1" applyFont="1" applyFill="1" applyAlignment="1">
      <alignment vertical="center"/>
    </xf>
    <xf numFmtId="7" fontId="6" fillId="11" borderId="4" xfId="0" applyNumberFormat="1" applyFont="1" applyFill="1" applyBorder="1" applyAlignment="1">
      <alignment horizontal="right" vertical="center" wrapText="1"/>
    </xf>
    <xf numFmtId="167" fontId="6" fillId="11" borderId="0" xfId="0" applyNumberFormat="1" applyFont="1" applyFill="1" applyAlignment="1">
      <alignment horizontal="left" vertical="center" wrapText="1"/>
    </xf>
    <xf numFmtId="7" fontId="6" fillId="11" borderId="0" xfId="0" applyNumberFormat="1" applyFont="1" applyFill="1" applyAlignment="1">
      <alignment vertical="center"/>
    </xf>
    <xf numFmtId="0" fontId="7" fillId="11" borderId="0" xfId="0" applyFont="1" applyFill="1"/>
    <xf numFmtId="164" fontId="3" fillId="12" borderId="0" xfId="0" applyNumberFormat="1" applyFont="1" applyFill="1" applyAlignment="1">
      <alignment wrapText="1"/>
    </xf>
    <xf numFmtId="0" fontId="0" fillId="0" borderId="0" xfId="0"/>
    <xf numFmtId="0" fontId="22" fillId="11" borderId="0" xfId="0" applyFont="1" applyFill="1" applyAlignment="1">
      <alignment vertical="center"/>
    </xf>
    <xf numFmtId="167" fontId="13" fillId="11" borderId="0" xfId="0" applyNumberFormat="1" applyFont="1" applyFill="1" applyAlignment="1">
      <alignment vertical="center"/>
    </xf>
    <xf numFmtId="7" fontId="13" fillId="11" borderId="4" xfId="0" applyNumberFormat="1" applyFont="1" applyFill="1" applyBorder="1" applyAlignment="1">
      <alignment horizontal="right" vertical="center" wrapText="1"/>
    </xf>
    <xf numFmtId="167" fontId="13" fillId="11" borderId="0" xfId="0" applyNumberFormat="1" applyFont="1" applyFill="1" applyAlignment="1">
      <alignment horizontal="left" vertical="center" wrapText="1"/>
    </xf>
    <xf numFmtId="7" fontId="13" fillId="0" borderId="0" xfId="0" applyNumberFormat="1" applyFont="1"/>
    <xf numFmtId="0" fontId="12" fillId="11" borderId="0" xfId="0" applyFont="1" applyFill="1"/>
    <xf numFmtId="7" fontId="6" fillId="11" borderId="0" xfId="0" applyNumberFormat="1" applyFont="1" applyFill="1"/>
    <xf numFmtId="0" fontId="6" fillId="0" borderId="0" xfId="0" applyFont="1" applyAlignment="1"/>
    <xf numFmtId="0" fontId="6" fillId="0" borderId="4" xfId="0" applyFont="1" applyBorder="1" applyAlignment="1"/>
    <xf numFmtId="0" fontId="7" fillId="0" borderId="0" xfId="0" applyFont="1" applyBorder="1" applyAlignment="1">
      <alignment wrapText="1"/>
    </xf>
    <xf numFmtId="167" fontId="7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167" fontId="6" fillId="0" borderId="0" xfId="0" applyNumberFormat="1" applyFont="1" applyBorder="1" applyAlignment="1">
      <alignment wrapText="1"/>
    </xf>
    <xf numFmtId="0" fontId="6" fillId="0" borderId="0" xfId="0" applyFont="1" applyBorder="1" applyAlignment="1"/>
    <xf numFmtId="4" fontId="6" fillId="0" borderId="0" xfId="0" applyNumberFormat="1" applyFont="1" applyBorder="1" applyAlignment="1"/>
    <xf numFmtId="166" fontId="6" fillId="2" borderId="3" xfId="0" applyNumberFormat="1" applyFont="1" applyFill="1" applyBorder="1" applyAlignment="1"/>
    <xf numFmtId="14" fontId="6" fillId="2" borderId="3" xfId="0" applyNumberFormat="1" applyFont="1" applyFill="1" applyBorder="1" applyAlignment="1"/>
    <xf numFmtId="166" fontId="6" fillId="2" borderId="1" xfId="0" applyNumberFormat="1" applyFont="1" applyFill="1" applyBorder="1" applyAlignment="1"/>
    <xf numFmtId="0" fontId="7" fillId="2" borderId="1" xfId="0" applyFont="1" applyFill="1" applyBorder="1" applyAlignment="1"/>
    <xf numFmtId="14" fontId="6" fillId="2" borderId="1" xfId="0" applyNumberFormat="1" applyFont="1" applyFill="1" applyBorder="1" applyAlignment="1"/>
    <xf numFmtId="0" fontId="7" fillId="2" borderId="1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7" fontId="7" fillId="2" borderId="1" xfId="0" applyNumberFormat="1" applyFont="1" applyFill="1" applyBorder="1" applyAlignment="1">
      <alignment wrapText="1"/>
    </xf>
    <xf numFmtId="167" fontId="7" fillId="0" borderId="0" xfId="0" applyNumberFormat="1" applyFont="1" applyAlignment="1"/>
    <xf numFmtId="7" fontId="6" fillId="0" borderId="4" xfId="0" applyNumberFormat="1" applyFont="1" applyBorder="1" applyAlignment="1">
      <alignment wrapText="1"/>
    </xf>
    <xf numFmtId="7" fontId="6" fillId="0" borderId="0" xfId="0" applyNumberFormat="1" applyFont="1" applyAlignment="1"/>
    <xf numFmtId="167" fontId="7" fillId="0" borderId="0" xfId="0" applyNumberFormat="1" applyFont="1" applyAlignment="1">
      <alignment wrapText="1"/>
    </xf>
    <xf numFmtId="167" fontId="6" fillId="0" borderId="0" xfId="0" applyNumberFormat="1" applyFont="1" applyAlignment="1"/>
    <xf numFmtId="7" fontId="7" fillId="4" borderId="4" xfId="0" applyNumberFormat="1" applyFont="1" applyFill="1" applyBorder="1" applyAlignment="1">
      <alignment wrapText="1"/>
    </xf>
    <xf numFmtId="7" fontId="6" fillId="4" borderId="0" xfId="0" applyNumberFormat="1" applyFont="1" applyFill="1" applyAlignment="1"/>
    <xf numFmtId="167" fontId="7" fillId="5" borderId="0" xfId="0" applyNumberFormat="1" applyFont="1" applyFill="1" applyAlignment="1">
      <alignment wrapText="1"/>
    </xf>
    <xf numFmtId="167" fontId="6" fillId="5" borderId="0" xfId="0" applyNumberFormat="1" applyFont="1" applyFill="1" applyAlignment="1"/>
    <xf numFmtId="7" fontId="6" fillId="5" borderId="4" xfId="0" applyNumberFormat="1" applyFont="1" applyFill="1" applyBorder="1" applyAlignment="1">
      <alignment wrapText="1"/>
    </xf>
    <xf numFmtId="7" fontId="6" fillId="5" borderId="0" xfId="0" applyNumberFormat="1" applyFont="1" applyFill="1" applyAlignment="1"/>
    <xf numFmtId="167" fontId="7" fillId="0" borderId="0" xfId="0" applyNumberFormat="1" applyFont="1" applyFill="1" applyAlignment="1">
      <alignment wrapText="1"/>
    </xf>
    <xf numFmtId="167" fontId="6" fillId="0" borderId="0" xfId="0" applyNumberFormat="1" applyFont="1" applyFill="1" applyAlignment="1"/>
    <xf numFmtId="7" fontId="6" fillId="0" borderId="4" xfId="0" applyNumberFormat="1" applyFont="1" applyFill="1" applyBorder="1" applyAlignment="1">
      <alignment wrapText="1"/>
    </xf>
    <xf numFmtId="167" fontId="7" fillId="6" borderId="0" xfId="0" applyNumberFormat="1" applyFont="1" applyFill="1" applyAlignment="1">
      <alignment wrapText="1"/>
    </xf>
    <xf numFmtId="167" fontId="6" fillId="6" borderId="0" xfId="0" applyNumberFormat="1" applyFont="1" applyFill="1" applyAlignment="1"/>
    <xf numFmtId="7" fontId="6" fillId="6" borderId="4" xfId="0" applyNumberFormat="1" applyFont="1" applyFill="1" applyBorder="1" applyAlignment="1">
      <alignment wrapText="1"/>
    </xf>
    <xf numFmtId="7" fontId="6" fillId="6" borderId="0" xfId="0" applyNumberFormat="1" applyFont="1" applyFill="1" applyAlignment="1"/>
    <xf numFmtId="167" fontId="7" fillId="7" borderId="0" xfId="0" applyNumberFormat="1" applyFont="1" applyFill="1" applyAlignment="1">
      <alignment wrapText="1"/>
    </xf>
    <xf numFmtId="0" fontId="0" fillId="7" borderId="0" xfId="0" applyFill="1" applyAlignment="1"/>
    <xf numFmtId="167" fontId="7" fillId="7" borderId="4" xfId="0" applyNumberFormat="1" applyFont="1" applyFill="1" applyBorder="1" applyAlignment="1">
      <alignment wrapText="1"/>
    </xf>
    <xf numFmtId="7" fontId="6" fillId="7" borderId="0" xfId="0" applyNumberFormat="1" applyFont="1" applyFill="1" applyAlignment="1"/>
    <xf numFmtId="167" fontId="6" fillId="4" borderId="0" xfId="0" applyNumberFormat="1" applyFont="1" applyFill="1" applyAlignment="1"/>
    <xf numFmtId="167" fontId="6" fillId="7" borderId="0" xfId="0" applyNumberFormat="1" applyFont="1" applyFill="1" applyAlignment="1"/>
    <xf numFmtId="7" fontId="7" fillId="7" borderId="4" xfId="0" applyNumberFormat="1" applyFont="1" applyFill="1" applyBorder="1" applyAlignment="1">
      <alignment wrapText="1"/>
    </xf>
    <xf numFmtId="7" fontId="6" fillId="0" borderId="0" xfId="0" applyNumberFormat="1" applyFont="1" applyFill="1" applyAlignment="1"/>
    <xf numFmtId="0" fontId="7" fillId="0" borderId="0" xfId="0" applyFont="1" applyFill="1" applyAlignment="1">
      <alignment wrapText="1"/>
    </xf>
    <xf numFmtId="7" fontId="6" fillId="7" borderId="0" xfId="0" applyNumberFormat="1" applyFont="1" applyFill="1" applyAlignment="1">
      <alignment wrapText="1"/>
    </xf>
    <xf numFmtId="167" fontId="6" fillId="0" borderId="12" xfId="0" applyNumberFormat="1" applyFont="1" applyBorder="1" applyAlignment="1"/>
    <xf numFmtId="0" fontId="6" fillId="4" borderId="0" xfId="0" applyFont="1" applyFill="1" applyAlignment="1"/>
    <xf numFmtId="0" fontId="7" fillId="0" borderId="6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14" fontId="7" fillId="0" borderId="0" xfId="0" applyNumberFormat="1" applyFont="1" applyAlignment="1">
      <alignment horizontal="left"/>
    </xf>
    <xf numFmtId="14" fontId="6" fillId="5" borderId="0" xfId="0" applyNumberFormat="1" applyFont="1" applyFill="1" applyAlignment="1">
      <alignment horizontal="left"/>
    </xf>
    <xf numFmtId="14" fontId="7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8" fillId="1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7" fontId="6" fillId="0" borderId="0" xfId="0" applyNumberFormat="1" applyFont="1" applyFill="1" applyAlignment="1">
      <alignment vertical="center"/>
    </xf>
    <xf numFmtId="167" fontId="2" fillId="9" borderId="0" xfId="0" applyNumberFormat="1" applyFont="1" applyFill="1" applyAlignment="1">
      <alignment horizontal="left" vertical="center" wrapText="1"/>
    </xf>
    <xf numFmtId="14" fontId="3" fillId="9" borderId="0" xfId="0" applyNumberFormat="1" applyFont="1" applyFill="1" applyAlignment="1">
      <alignment horizontal="left" vertical="center"/>
    </xf>
    <xf numFmtId="0" fontId="3" fillId="5" borderId="0" xfId="0" applyFont="1" applyFill="1"/>
    <xf numFmtId="0" fontId="3" fillId="0" borderId="0" xfId="0" applyFont="1"/>
    <xf numFmtId="0" fontId="7" fillId="5" borderId="0" xfId="0" applyFont="1" applyFill="1"/>
    <xf numFmtId="14" fontId="3" fillId="5" borderId="0" xfId="0" applyNumberFormat="1" applyFont="1" applyFill="1" applyAlignment="1">
      <alignment horizontal="left" vertical="center"/>
    </xf>
    <xf numFmtId="167" fontId="2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/>
    </xf>
    <xf numFmtId="14" fontId="3" fillId="6" borderId="0" xfId="0" applyNumberFormat="1" applyFont="1" applyFill="1" applyAlignment="1">
      <alignment horizontal="left" vertical="center"/>
    </xf>
    <xf numFmtId="0" fontId="0" fillId="0" borderId="0" xfId="0"/>
    <xf numFmtId="0" fontId="7" fillId="0" borderId="11" xfId="0" applyFont="1" applyBorder="1" applyAlignment="1">
      <alignment horizontal="center" vertical="center"/>
    </xf>
    <xf numFmtId="167" fontId="3" fillId="9" borderId="0" xfId="0" applyNumberFormat="1" applyFont="1" applyFill="1" applyAlignment="1">
      <alignment vertical="center"/>
    </xf>
    <xf numFmtId="164" fontId="0" fillId="0" borderId="0" xfId="0" applyNumberFormat="1"/>
    <xf numFmtId="164" fontId="0" fillId="2" borderId="0" xfId="0" applyNumberFormat="1" applyFill="1"/>
    <xf numFmtId="14" fontId="3" fillId="4" borderId="0" xfId="0" applyNumberFormat="1" applyFont="1" applyFill="1" applyAlignment="1">
      <alignment horizontal="left" vertical="center"/>
    </xf>
    <xf numFmtId="164" fontId="3" fillId="9" borderId="0" xfId="0" applyNumberFormat="1" applyFont="1" applyFill="1" applyAlignment="1">
      <alignment wrapText="1"/>
    </xf>
    <xf numFmtId="0" fontId="25" fillId="0" borderId="0" xfId="0" applyFont="1" applyAlignment="1"/>
    <xf numFmtId="0" fontId="20" fillId="0" borderId="0" xfId="0" applyFont="1" applyAlignment="1"/>
    <xf numFmtId="0" fontId="0" fillId="0" borderId="0" xfId="0"/>
    <xf numFmtId="0" fontId="26" fillId="0" borderId="0" xfId="0" applyFont="1" applyAlignment="1">
      <alignment horizontal="center"/>
    </xf>
    <xf numFmtId="0" fontId="1" fillId="0" borderId="25" xfId="0" applyFont="1" applyFill="1" applyBorder="1" applyAlignment="1">
      <alignment horizontal="center" wrapText="1"/>
    </xf>
    <xf numFmtId="165" fontId="2" fillId="0" borderId="2" xfId="0" applyNumberFormat="1" applyFont="1" applyFill="1" applyBorder="1" applyAlignment="1">
      <alignment horizontal="right" wrapText="1"/>
    </xf>
    <xf numFmtId="0" fontId="26" fillId="3" borderId="0" xfId="0" applyFont="1" applyFill="1" applyAlignment="1">
      <alignment horizontal="center"/>
    </xf>
    <xf numFmtId="0" fontId="1" fillId="3" borderId="25" xfId="0" applyFont="1" applyFill="1" applyBorder="1" applyAlignment="1">
      <alignment horizontal="center" wrapText="1"/>
    </xf>
    <xf numFmtId="164" fontId="3" fillId="3" borderId="0" xfId="0" applyNumberFormat="1" applyFont="1" applyFill="1" applyAlignment="1">
      <alignment wrapText="1"/>
    </xf>
    <xf numFmtId="164" fontId="3" fillId="3" borderId="0" xfId="0" applyNumberFormat="1" applyFont="1" applyFill="1" applyAlignment="1">
      <alignment horizontal="right" wrapText="1"/>
    </xf>
    <xf numFmtId="165" fontId="2" fillId="3" borderId="2" xfId="0" applyNumberFormat="1" applyFont="1" applyFill="1" applyBorder="1" applyAlignment="1">
      <alignment horizontal="right" wrapText="1"/>
    </xf>
    <xf numFmtId="164" fontId="6" fillId="3" borderId="0" xfId="0" applyNumberFormat="1" applyFont="1" applyFill="1" applyAlignment="1">
      <alignment horizontal="right" wrapText="1"/>
    </xf>
    <xf numFmtId="165" fontId="2" fillId="3" borderId="3" xfId="0" applyNumberFormat="1" applyFont="1" applyFill="1" applyBorder="1" applyAlignment="1">
      <alignment horizontal="right" wrapText="1"/>
    </xf>
    <xf numFmtId="164" fontId="27" fillId="3" borderId="0" xfId="0" applyNumberFormat="1" applyFont="1" applyFill="1" applyAlignment="1">
      <alignment wrapText="1"/>
    </xf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3" fillId="2" borderId="0" xfId="0" applyNumberFormat="1" applyFont="1" applyFill="1"/>
    <xf numFmtId="0" fontId="20" fillId="0" borderId="0" xfId="0" applyFont="1"/>
    <xf numFmtId="0" fontId="25" fillId="0" borderId="0" xfId="0" applyFont="1"/>
    <xf numFmtId="0" fontId="2" fillId="0" borderId="25" xfId="0" applyFont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29" fillId="0" borderId="0" xfId="0" applyFont="1" applyFill="1"/>
    <xf numFmtId="0" fontId="29" fillId="0" borderId="0" xfId="0" applyFont="1"/>
    <xf numFmtId="0" fontId="29" fillId="0" borderId="25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168" fontId="29" fillId="0" borderId="0" xfId="1" applyNumberFormat="1" applyFont="1" applyFill="1"/>
    <xf numFmtId="0" fontId="28" fillId="4" borderId="0" xfId="0" applyFont="1" applyFill="1" applyAlignment="1">
      <alignment horizontal="left" wrapText="1"/>
    </xf>
    <xf numFmtId="168" fontId="29" fillId="0" borderId="0" xfId="1" applyNumberFormat="1" applyFont="1" applyFill="1" applyBorder="1"/>
    <xf numFmtId="0" fontId="29" fillId="0" borderId="0" xfId="0" applyFont="1" applyFill="1" applyBorder="1"/>
    <xf numFmtId="43" fontId="29" fillId="0" borderId="0" xfId="1" applyFont="1" applyFill="1" applyBorder="1"/>
    <xf numFmtId="168" fontId="29" fillId="0" borderId="7" xfId="1" applyNumberFormat="1" applyFont="1" applyFill="1" applyBorder="1" applyAlignment="1">
      <alignment wrapText="1"/>
    </xf>
    <xf numFmtId="168" fontId="29" fillId="0" borderId="7" xfId="1" applyNumberFormat="1" applyFont="1" applyFill="1" applyBorder="1" applyAlignment="1">
      <alignment horizontal="right" wrapText="1"/>
    </xf>
    <xf numFmtId="168" fontId="30" fillId="0" borderId="7" xfId="1" applyNumberFormat="1" applyFont="1" applyFill="1" applyBorder="1" applyAlignment="1">
      <alignment wrapText="1"/>
    </xf>
    <xf numFmtId="168" fontId="28" fillId="0" borderId="7" xfId="1" applyNumberFormat="1" applyFont="1" applyFill="1" applyBorder="1" applyAlignment="1">
      <alignment horizontal="right" wrapText="1"/>
    </xf>
    <xf numFmtId="168" fontId="29" fillId="0" borderId="7" xfId="1" applyNumberFormat="1" applyFont="1" applyFill="1" applyBorder="1"/>
    <xf numFmtId="0" fontId="29" fillId="4" borderId="0" xfId="0" applyFont="1" applyFill="1"/>
    <xf numFmtId="168" fontId="29" fillId="0" borderId="56" xfId="1" applyNumberFormat="1" applyFont="1" applyFill="1" applyBorder="1" applyAlignment="1">
      <alignment wrapText="1"/>
    </xf>
    <xf numFmtId="168" fontId="29" fillId="0" borderId="56" xfId="1" applyNumberFormat="1" applyFont="1" applyFill="1" applyBorder="1" applyAlignment="1">
      <alignment horizontal="right" wrapText="1"/>
    </xf>
    <xf numFmtId="168" fontId="28" fillId="0" borderId="56" xfId="1" applyNumberFormat="1" applyFont="1" applyFill="1" applyBorder="1" applyAlignment="1">
      <alignment horizontal="right" wrapText="1"/>
    </xf>
    <xf numFmtId="168" fontId="29" fillId="0" borderId="56" xfId="1" applyNumberFormat="1" applyFont="1" applyFill="1" applyBorder="1"/>
    <xf numFmtId="168" fontId="30" fillId="0" borderId="56" xfId="1" applyNumberFormat="1" applyFont="1" applyFill="1" applyBorder="1" applyAlignment="1">
      <alignment wrapText="1"/>
    </xf>
    <xf numFmtId="43" fontId="29" fillId="0" borderId="0" xfId="1" applyFont="1"/>
    <xf numFmtId="168" fontId="29" fillId="0" borderId="0" xfId="1" applyNumberFormat="1" applyFont="1"/>
    <xf numFmtId="168" fontId="29" fillId="0" borderId="0" xfId="1" applyNumberFormat="1" applyFont="1" applyAlignment="1">
      <alignment horizontal="center"/>
    </xf>
    <xf numFmtId="43" fontId="29" fillId="0" borderId="1" xfId="1" applyFont="1" applyBorder="1"/>
    <xf numFmtId="168" fontId="3" fillId="0" borderId="0" xfId="1" applyNumberFormat="1" applyFont="1"/>
    <xf numFmtId="0" fontId="28" fillId="13" borderId="7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7" xfId="0" applyFont="1" applyFill="1" applyBorder="1" applyAlignment="1">
      <alignment horizontal="center" wrapText="1"/>
    </xf>
    <xf numFmtId="168" fontId="28" fillId="4" borderId="37" xfId="1" applyNumberFormat="1" applyFont="1" applyFill="1" applyBorder="1" applyAlignment="1">
      <alignment horizontal="right" wrapText="1"/>
    </xf>
    <xf numFmtId="168" fontId="28" fillId="4" borderId="42" xfId="1" applyNumberFormat="1" applyFont="1" applyFill="1" applyBorder="1" applyAlignment="1">
      <alignment horizontal="right" wrapText="1"/>
    </xf>
    <xf numFmtId="168" fontId="29" fillId="0" borderId="19" xfId="1" applyNumberFormat="1" applyFont="1" applyFill="1" applyBorder="1" applyAlignment="1">
      <alignment horizontal="right" wrapText="1"/>
    </xf>
    <xf numFmtId="168" fontId="29" fillId="0" borderId="57" xfId="1" applyNumberFormat="1" applyFont="1" applyFill="1" applyBorder="1" applyAlignment="1">
      <alignment horizontal="right" wrapText="1"/>
    </xf>
    <xf numFmtId="168" fontId="29" fillId="4" borderId="37" xfId="1" applyNumberFormat="1" applyFont="1" applyFill="1" applyBorder="1"/>
    <xf numFmtId="168" fontId="29" fillId="4" borderId="42" xfId="1" applyNumberFormat="1" applyFont="1" applyFill="1" applyBorder="1"/>
    <xf numFmtId="43" fontId="29" fillId="0" borderId="0" xfId="1" applyFont="1" applyFill="1"/>
    <xf numFmtId="168" fontId="29" fillId="0" borderId="1" xfId="1" applyNumberFormat="1" applyFont="1" applyBorder="1"/>
    <xf numFmtId="0" fontId="29" fillId="0" borderId="0" xfId="0" applyFont="1" applyAlignment="1">
      <alignment horizontal="center"/>
    </xf>
    <xf numFmtId="43" fontId="29" fillId="0" borderId="0" xfId="1" applyFont="1" applyAlignment="1">
      <alignment horizontal="center"/>
    </xf>
    <xf numFmtId="0" fontId="28" fillId="13" borderId="58" xfId="0" applyFont="1" applyFill="1" applyBorder="1" applyAlignment="1">
      <alignment horizontal="center"/>
    </xf>
    <xf numFmtId="0" fontId="28" fillId="0" borderId="58" xfId="0" applyFont="1" applyFill="1" applyBorder="1" applyAlignment="1">
      <alignment horizontal="center" wrapText="1"/>
    </xf>
    <xf numFmtId="168" fontId="29" fillId="0" borderId="58" xfId="1" applyNumberFormat="1" applyFont="1" applyFill="1" applyBorder="1" applyAlignment="1">
      <alignment wrapText="1"/>
    </xf>
    <xf numFmtId="168" fontId="29" fillId="0" borderId="58" xfId="1" applyNumberFormat="1" applyFont="1" applyFill="1" applyBorder="1" applyAlignment="1">
      <alignment horizontal="right" wrapText="1"/>
    </xf>
    <xf numFmtId="168" fontId="30" fillId="0" borderId="58" xfId="1" applyNumberFormat="1" applyFont="1" applyFill="1" applyBorder="1" applyAlignment="1">
      <alignment wrapText="1"/>
    </xf>
    <xf numFmtId="168" fontId="29" fillId="0" borderId="59" xfId="1" applyNumberFormat="1" applyFont="1" applyFill="1" applyBorder="1" applyAlignment="1">
      <alignment horizontal="right" wrapText="1"/>
    </xf>
    <xf numFmtId="168" fontId="28" fillId="4" borderId="60" xfId="1" applyNumberFormat="1" applyFont="1" applyFill="1" applyBorder="1" applyAlignment="1">
      <alignment horizontal="right" wrapText="1"/>
    </xf>
    <xf numFmtId="168" fontId="28" fillId="0" borderId="58" xfId="1" applyNumberFormat="1" applyFont="1" applyFill="1" applyBorder="1" applyAlignment="1">
      <alignment horizontal="right" wrapText="1"/>
    </xf>
    <xf numFmtId="168" fontId="29" fillId="4" borderId="60" xfId="1" applyNumberFormat="1" applyFont="1" applyFill="1" applyBorder="1"/>
    <xf numFmtId="168" fontId="29" fillId="0" borderId="58" xfId="1" applyNumberFormat="1" applyFont="1" applyFill="1" applyBorder="1"/>
    <xf numFmtId="0" fontId="7" fillId="0" borderId="1" xfId="0" applyFont="1" applyBorder="1" applyAlignment="1">
      <alignment horizontal="center" vertical="center" wrapText="1"/>
    </xf>
    <xf numFmtId="0" fontId="8" fillId="10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0" fontId="24" fillId="1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14" fontId="7" fillId="2" borderId="0" xfId="0" applyNumberFormat="1" applyFont="1" applyFill="1" applyAlignment="1">
      <alignment horizontal="right"/>
    </xf>
    <xf numFmtId="43" fontId="6" fillId="0" borderId="5" xfId="1" applyFont="1" applyBorder="1" applyAlignment="1">
      <alignment horizontal="center"/>
    </xf>
    <xf numFmtId="43" fontId="6" fillId="0" borderId="3" xfId="1" applyFont="1" applyBorder="1" applyAlignment="1">
      <alignment horizontal="center"/>
    </xf>
    <xf numFmtId="43" fontId="6" fillId="0" borderId="4" xfId="1" applyFont="1" applyBorder="1" applyAlignment="1">
      <alignment horizontal="center" vertical="center"/>
    </xf>
    <xf numFmtId="43" fontId="6" fillId="0" borderId="0" xfId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10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1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10" borderId="0" xfId="0" applyFill="1"/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4" fontId="7" fillId="2" borderId="5" xfId="0" applyNumberFormat="1" applyFont="1" applyFill="1" applyBorder="1" applyAlignment="1"/>
    <xf numFmtId="14" fontId="7" fillId="2" borderId="3" xfId="0" applyNumberFormat="1" applyFont="1" applyFill="1" applyBorder="1" applyAlignment="1"/>
    <xf numFmtId="14" fontId="7" fillId="2" borderId="6" xfId="0" applyNumberFormat="1" applyFont="1" applyFill="1" applyBorder="1" applyAlignment="1"/>
    <xf numFmtId="14" fontId="7" fillId="2" borderId="1" xfId="0" applyNumberFormat="1" applyFont="1" applyFill="1" applyBorder="1" applyAlignment="1"/>
    <xf numFmtId="0" fontId="8" fillId="3" borderId="5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41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1" xfId="0" applyFont="1" applyBorder="1" applyAlignment="1">
      <alignment horizontal="center" vertical="center"/>
    </xf>
    <xf numFmtId="9" fontId="7" fillId="0" borderId="44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7" fillId="0" borderId="4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40" xfId="4" applyFont="1" applyBorder="1" applyAlignment="1">
      <alignment horizontal="center" vertical="center" wrapText="1"/>
    </xf>
    <xf numFmtId="0" fontId="18" fillId="0" borderId="33" xfId="4" applyFont="1" applyBorder="1" applyAlignment="1">
      <alignment horizontal="center" vertical="center" wrapText="1"/>
    </xf>
    <xf numFmtId="0" fontId="18" fillId="0" borderId="32" xfId="4" applyFont="1" applyBorder="1" applyAlignment="1">
      <alignment horizontal="center" vertical="center" wrapText="1"/>
    </xf>
    <xf numFmtId="44" fontId="13" fillId="2" borderId="17" xfId="5" applyFont="1" applyFill="1" applyBorder="1" applyAlignment="1">
      <alignment horizontal="right"/>
    </xf>
    <xf numFmtId="44" fontId="13" fillId="2" borderId="33" xfId="5" applyFont="1" applyFill="1" applyBorder="1" applyAlignment="1">
      <alignment horizontal="right"/>
    </xf>
  </cellXfs>
  <cellStyles count="6">
    <cellStyle name="Comma" xfId="1" builtinId="3"/>
    <cellStyle name="Currency" xfId="2" builtinId="4"/>
    <cellStyle name="Currency 2" xfId="5" xr:uid="{E2917E40-8309-4374-A8C0-D4CDCA2DB842}"/>
    <cellStyle name="Normal" xfId="0" builtinId="0"/>
    <cellStyle name="Normal 2" xfId="3" xr:uid="{270F08D3-29B0-405C-8A56-14352A7AC7ED}"/>
    <cellStyle name="Normal 3" xfId="4" xr:uid="{1F86B090-C327-4296-9757-52C5CA846768}"/>
  </cellStyles>
  <dxfs count="0"/>
  <tableStyles count="0" defaultTableStyle="TableStyleMedium2" defaultPivotStyle="PivotStyleLight16"/>
  <colors>
    <mruColors>
      <color rgb="FFFFE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/FY%2019-20/MCTC%20APPROVED%202019_2020%20Mid%20Year%20Budget-from%20cli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d Year Budget _ Cash Flows "/>
      <sheetName val="Mid Year Budget _ P&amp;L"/>
      <sheetName val="BB Example 3 _ Cash Flows"/>
      <sheetName val="BB Example 3 _ P&amp;L"/>
      <sheetName val="BB Example 2 _ Cash Flows"/>
      <sheetName val="BB Example 2 _ P&amp;L"/>
      <sheetName val="BB Example 4 _ Cash Flows"/>
      <sheetName val="BB Example 4 _ P&amp;L "/>
      <sheetName val="Example 1 _ Cash Flows"/>
      <sheetName val="Example 1 _ P&amp;L"/>
      <sheetName val="CCD - Mnthly Bills"/>
      <sheetName val="TS 2019_2020 Est Travel"/>
      <sheetName val="MMWW Repayment Sch"/>
    </sheetNames>
    <sheetDataSet>
      <sheetData sheetId="0">
        <row r="17">
          <cell r="AS17">
            <v>1146</v>
          </cell>
          <cell r="AY17">
            <v>0</v>
          </cell>
        </row>
        <row r="55">
          <cell r="AS55">
            <v>1200</v>
          </cell>
          <cell r="AT55">
            <v>22229.68</v>
          </cell>
          <cell r="AY55">
            <v>200</v>
          </cell>
          <cell r="BA55">
            <v>1500</v>
          </cell>
          <cell r="BB55">
            <v>1075</v>
          </cell>
          <cell r="BD55">
            <v>1750</v>
          </cell>
        </row>
        <row r="94">
          <cell r="X94">
            <v>33825</v>
          </cell>
          <cell r="AT94">
            <v>2250</v>
          </cell>
          <cell r="AU94">
            <v>3050</v>
          </cell>
          <cell r="AV94">
            <v>1747.6</v>
          </cell>
          <cell r="AY94">
            <v>600</v>
          </cell>
          <cell r="AZ94">
            <v>1800</v>
          </cell>
          <cell r="BB94">
            <v>2375</v>
          </cell>
          <cell r="BD94">
            <v>1750</v>
          </cell>
        </row>
        <row r="128">
          <cell r="AT128">
            <v>0</v>
          </cell>
          <cell r="AV128">
            <v>0</v>
          </cell>
          <cell r="AY128">
            <v>600</v>
          </cell>
          <cell r="BB128">
            <v>2375</v>
          </cell>
          <cell r="BD128">
            <v>4340</v>
          </cell>
        </row>
        <row r="157">
          <cell r="AT157">
            <v>0</v>
          </cell>
          <cell r="AV157">
            <v>0</v>
          </cell>
          <cell r="AY157">
            <v>1200</v>
          </cell>
          <cell r="BB157">
            <v>0</v>
          </cell>
          <cell r="BD157">
            <v>1750</v>
          </cell>
        </row>
        <row r="189">
          <cell r="AB189">
            <v>8100</v>
          </cell>
          <cell r="AT189">
            <v>2600</v>
          </cell>
          <cell r="AY189">
            <v>0</v>
          </cell>
          <cell r="BB189">
            <v>0</v>
          </cell>
          <cell r="BD189">
            <v>1750</v>
          </cell>
        </row>
      </sheetData>
      <sheetData sheetId="1"/>
      <sheetData sheetId="2">
        <row r="52">
          <cell r="AA52">
            <v>13375</v>
          </cell>
          <cell r="AV52">
            <v>800</v>
          </cell>
          <cell r="AX52">
            <v>5000</v>
          </cell>
        </row>
        <row r="86">
          <cell r="AA86">
            <v>7375</v>
          </cell>
          <cell r="AV86">
            <v>800</v>
          </cell>
          <cell r="AW86">
            <v>4500</v>
          </cell>
          <cell r="AX86">
            <v>5000</v>
          </cell>
        </row>
        <row r="116">
          <cell r="AA116">
            <v>7375</v>
          </cell>
          <cell r="AV116">
            <v>800</v>
          </cell>
          <cell r="AX116">
            <v>5000</v>
          </cell>
        </row>
        <row r="144">
          <cell r="AA144">
            <v>7375</v>
          </cell>
          <cell r="AV144">
            <v>800</v>
          </cell>
          <cell r="AX144">
            <v>5000</v>
          </cell>
        </row>
        <row r="174">
          <cell r="AA174">
            <v>7375</v>
          </cell>
          <cell r="AV174">
            <v>800</v>
          </cell>
          <cell r="AX174">
            <v>5000</v>
          </cell>
        </row>
      </sheetData>
      <sheetData sheetId="3"/>
      <sheetData sheetId="4">
        <row r="17">
          <cell r="AV17">
            <v>750</v>
          </cell>
        </row>
        <row r="82">
          <cell r="AG82">
            <v>2020</v>
          </cell>
          <cell r="AH82">
            <v>20000</v>
          </cell>
          <cell r="AI82">
            <v>1500</v>
          </cell>
          <cell r="AJ82">
            <v>3000</v>
          </cell>
        </row>
        <row r="110">
          <cell r="AG110">
            <v>2020</v>
          </cell>
          <cell r="AH110">
            <v>20000</v>
          </cell>
          <cell r="AI110">
            <v>1500</v>
          </cell>
          <cell r="AJ110">
            <v>3000</v>
          </cell>
        </row>
        <row r="136">
          <cell r="AG136">
            <v>2020</v>
          </cell>
          <cell r="AH136">
            <v>20000</v>
          </cell>
          <cell r="AI136">
            <v>1500</v>
          </cell>
          <cell r="AJ136">
            <v>3000</v>
          </cell>
        </row>
        <row r="164">
          <cell r="AG164">
            <v>2020</v>
          </cell>
          <cell r="AH164">
            <v>20000</v>
          </cell>
          <cell r="AI164">
            <v>1500</v>
          </cell>
          <cell r="AJ164">
            <v>3000</v>
          </cell>
        </row>
      </sheetData>
      <sheetData sheetId="5"/>
      <sheetData sheetId="6"/>
      <sheetData sheetId="7"/>
      <sheetData sheetId="8">
        <row r="17">
          <cell r="U17">
            <v>100</v>
          </cell>
          <cell r="V17">
            <v>458.65</v>
          </cell>
          <cell r="W17">
            <v>993.17000000000007</v>
          </cell>
          <cell r="X17">
            <v>0</v>
          </cell>
          <cell r="Z17">
            <v>2500</v>
          </cell>
          <cell r="AO17">
            <v>330.78</v>
          </cell>
          <cell r="AQ17">
            <v>0</v>
          </cell>
          <cell r="AU17">
            <v>1967.22</v>
          </cell>
        </row>
        <row r="51">
          <cell r="U51">
            <v>294.95</v>
          </cell>
          <cell r="V51">
            <v>708.65</v>
          </cell>
          <cell r="W51">
            <v>1060.8975</v>
          </cell>
          <cell r="X51">
            <v>1080</v>
          </cell>
          <cell r="Y51">
            <v>778.6875</v>
          </cell>
          <cell r="Z51">
            <v>2500</v>
          </cell>
          <cell r="AB51">
            <v>7500</v>
          </cell>
          <cell r="AC51">
            <v>2350</v>
          </cell>
          <cell r="AD51">
            <v>1674</v>
          </cell>
          <cell r="AE51">
            <v>8333</v>
          </cell>
          <cell r="AF51">
            <v>150</v>
          </cell>
          <cell r="AG51">
            <v>2750</v>
          </cell>
          <cell r="AH51">
            <v>27200</v>
          </cell>
          <cell r="AI51">
            <v>2000</v>
          </cell>
          <cell r="AJ51">
            <v>4000</v>
          </cell>
          <cell r="AK51">
            <v>250</v>
          </cell>
          <cell r="AM51">
            <v>200</v>
          </cell>
          <cell r="AN51">
            <v>625</v>
          </cell>
          <cell r="AO51">
            <v>0</v>
          </cell>
          <cell r="AQ51">
            <v>111.1875</v>
          </cell>
          <cell r="AR51">
            <v>63.75</v>
          </cell>
          <cell r="AU51">
            <v>3439.25</v>
          </cell>
        </row>
        <row r="83">
          <cell r="U83">
            <v>294.95</v>
          </cell>
          <cell r="V83">
            <v>708.65</v>
          </cell>
          <cell r="W83">
            <v>779.72749999999996</v>
          </cell>
          <cell r="Y83">
            <v>778.6875</v>
          </cell>
          <cell r="Z83">
            <v>2500</v>
          </cell>
          <cell r="AB83">
            <v>7500</v>
          </cell>
          <cell r="AC83">
            <v>2350</v>
          </cell>
          <cell r="AD83">
            <v>1674</v>
          </cell>
          <cell r="AE83">
            <v>8333</v>
          </cell>
          <cell r="AF83">
            <v>150</v>
          </cell>
          <cell r="AK83">
            <v>250</v>
          </cell>
          <cell r="AM83">
            <v>200</v>
          </cell>
          <cell r="AN83">
            <v>625</v>
          </cell>
          <cell r="AO83">
            <v>0</v>
          </cell>
          <cell r="AQ83">
            <v>111.1875</v>
          </cell>
          <cell r="AR83">
            <v>63.75</v>
          </cell>
        </row>
        <row r="112">
          <cell r="U112">
            <v>294.95</v>
          </cell>
          <cell r="V112">
            <v>708.65</v>
          </cell>
          <cell r="W112">
            <v>779.72749999999996</v>
          </cell>
          <cell r="X112">
            <v>1080</v>
          </cell>
          <cell r="Y112">
            <v>778.6875</v>
          </cell>
          <cell r="Z112">
            <v>2500</v>
          </cell>
          <cell r="AB112">
            <v>7500</v>
          </cell>
          <cell r="AC112">
            <v>2350</v>
          </cell>
          <cell r="AD112">
            <v>1674</v>
          </cell>
          <cell r="AE112">
            <v>8333</v>
          </cell>
          <cell r="AF112">
            <v>150</v>
          </cell>
          <cell r="AK112">
            <v>250</v>
          </cell>
          <cell r="AM112">
            <v>200</v>
          </cell>
          <cell r="AN112">
            <v>625</v>
          </cell>
          <cell r="AO112">
            <v>0</v>
          </cell>
          <cell r="AQ112">
            <v>111.1875</v>
          </cell>
          <cell r="AR112">
            <v>63.75</v>
          </cell>
        </row>
        <row r="138">
          <cell r="U138">
            <v>294.95</v>
          </cell>
          <cell r="V138">
            <v>708.65</v>
          </cell>
          <cell r="W138">
            <v>779.72749999999996</v>
          </cell>
          <cell r="X138">
            <v>1080</v>
          </cell>
          <cell r="Y138">
            <v>778.6875</v>
          </cell>
          <cell r="Z138">
            <v>2500</v>
          </cell>
          <cell r="AB138">
            <v>7500</v>
          </cell>
          <cell r="AC138">
            <v>2350</v>
          </cell>
          <cell r="AD138">
            <v>1674</v>
          </cell>
          <cell r="AE138">
            <v>8333</v>
          </cell>
          <cell r="AF138">
            <v>150</v>
          </cell>
          <cell r="AK138">
            <v>250</v>
          </cell>
          <cell r="AM138">
            <v>200</v>
          </cell>
          <cell r="AN138">
            <v>625</v>
          </cell>
          <cell r="AO138">
            <v>0</v>
          </cell>
          <cell r="AQ138">
            <v>111.1875</v>
          </cell>
          <cell r="AR138">
            <v>63.75</v>
          </cell>
        </row>
        <row r="166">
          <cell r="U166">
            <v>294.95</v>
          </cell>
          <cell r="V166">
            <v>708.65</v>
          </cell>
          <cell r="W166">
            <v>779.72749999999996</v>
          </cell>
          <cell r="X166">
            <v>1080</v>
          </cell>
          <cell r="Y166">
            <v>778.6875</v>
          </cell>
          <cell r="Z166">
            <v>2500</v>
          </cell>
          <cell r="AC166">
            <v>2350</v>
          </cell>
          <cell r="AD166">
            <v>1674</v>
          </cell>
          <cell r="AE166">
            <v>8333</v>
          </cell>
          <cell r="AF166">
            <v>150</v>
          </cell>
          <cell r="AK166">
            <v>250</v>
          </cell>
          <cell r="AM166">
            <v>200</v>
          </cell>
          <cell r="AN166">
            <v>625</v>
          </cell>
          <cell r="AO166">
            <v>0</v>
          </cell>
          <cell r="AQ166">
            <v>111.1875</v>
          </cell>
          <cell r="AR166">
            <v>63.75</v>
          </cell>
          <cell r="AU166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03B04-9CA0-48EB-A073-3D6C4FF6390E}">
  <sheetPr codeName="Sheet12">
    <pageSetUpPr fitToPage="1"/>
  </sheetPr>
  <dimension ref="A1:BF218"/>
  <sheetViews>
    <sheetView zoomScaleNormal="100" workbookViewId="0">
      <pane ySplit="4" topLeftCell="A5" activePane="bottomLeft" state="frozen"/>
      <selection activeCell="I3" sqref="I3"/>
      <selection pane="bottomLeft" activeCell="B129" sqref="B129:B156"/>
    </sheetView>
  </sheetViews>
  <sheetFormatPr defaultColWidth="9.109375" defaultRowHeight="14.4" x14ac:dyDescent="0.3"/>
  <cols>
    <col min="1" max="1" width="2.44140625" style="8" bestFit="1" customWidth="1"/>
    <col min="2" max="2" width="35.109375" style="278" bestFit="1" customWidth="1"/>
    <col min="3" max="3" width="9.5546875" style="278" bestFit="1" customWidth="1"/>
    <col min="4" max="4" width="10.6640625" style="278" bestFit="1" customWidth="1"/>
    <col min="5" max="5" width="30" style="278" customWidth="1"/>
    <col min="6" max="6" width="14.109375" style="278" customWidth="1"/>
    <col min="7" max="7" width="13.88671875" style="84" hidden="1" customWidth="1"/>
    <col min="8" max="8" width="11.6640625" style="84" hidden="1" customWidth="1"/>
    <col min="9" max="9" width="9.5546875" style="84" hidden="1" customWidth="1"/>
    <col min="10" max="10" width="7.88671875" style="84" hidden="1" customWidth="1"/>
    <col min="11" max="11" width="9" style="7" hidden="1" customWidth="1"/>
    <col min="12" max="12" width="4.44140625" style="38" hidden="1" customWidth="1"/>
    <col min="13" max="13" width="9.88671875" style="7" hidden="1" customWidth="1"/>
    <col min="14" max="14" width="4.44140625" style="7" hidden="1" customWidth="1"/>
    <col min="15" max="15" width="9" style="7" hidden="1" customWidth="1"/>
    <col min="16" max="16" width="4.44140625" style="7" hidden="1" customWidth="1"/>
    <col min="17" max="17" width="9" style="7" hidden="1" customWidth="1"/>
    <col min="18" max="18" width="4.44140625" style="7" hidden="1" customWidth="1"/>
    <col min="19" max="19" width="7.6640625" style="7" hidden="1" customWidth="1"/>
    <col min="20" max="20" width="9.88671875" style="7" hidden="1" customWidth="1"/>
    <col min="21" max="21" width="9.44140625" style="121" customWidth="1"/>
    <col min="22" max="22" width="9.44140625" style="62" customWidth="1"/>
    <col min="23" max="23" width="9.6640625" style="7" bestFit="1" customWidth="1"/>
    <col min="24" max="24" width="8.6640625" style="7" bestFit="1" customWidth="1"/>
    <col min="25" max="25" width="8" style="7" bestFit="1" customWidth="1"/>
    <col min="26" max="26" width="8.6640625" style="7" bestFit="1" customWidth="1"/>
    <col min="27" max="27" width="9.6640625" style="7" bestFit="1" customWidth="1"/>
    <col min="28" max="29" width="8.88671875" style="7" bestFit="1" customWidth="1"/>
    <col min="30" max="31" width="9.109375" style="7" bestFit="1" customWidth="1"/>
    <col min="32" max="32" width="6.6640625" style="7" bestFit="1" customWidth="1"/>
    <col min="33" max="33" width="9.109375" style="7" bestFit="1" customWidth="1"/>
    <col min="34" max="34" width="10" style="7" bestFit="1" customWidth="1"/>
    <col min="35" max="36" width="9.109375" style="7" bestFit="1" customWidth="1"/>
    <col min="37" max="41" width="8" style="7" bestFit="1" customWidth="1"/>
    <col min="42" max="42" width="8" style="7" customWidth="1"/>
    <col min="43" max="43" width="8" style="7" bestFit="1" customWidth="1"/>
    <col min="44" max="46" width="9.33203125" style="7" bestFit="1" customWidth="1"/>
    <col min="47" max="47" width="9.33203125" style="7" customWidth="1"/>
    <col min="48" max="48" width="10.109375" style="7" bestFit="1" customWidth="1"/>
    <col min="49" max="55" width="10.109375" style="7" customWidth="1"/>
    <col min="56" max="56" width="9.33203125" style="62" bestFit="1" customWidth="1"/>
    <col min="57" max="57" width="10" style="121" bestFit="1" customWidth="1"/>
    <col min="58" max="58" width="11.109375" style="475" bestFit="1" customWidth="1"/>
    <col min="59" max="16384" width="9.109375" style="475"/>
  </cols>
  <sheetData>
    <row r="1" spans="1:57" s="37" customFormat="1" ht="15" customHeight="1" x14ac:dyDescent="0.3">
      <c r="A1" s="566" t="s">
        <v>108</v>
      </c>
      <c r="B1" s="566"/>
      <c r="C1" s="566"/>
      <c r="D1" s="566"/>
      <c r="E1" s="566"/>
      <c r="F1" s="566"/>
      <c r="G1" s="566"/>
      <c r="H1" s="74"/>
      <c r="I1" s="75"/>
      <c r="J1" s="75"/>
      <c r="K1" s="8"/>
      <c r="L1" s="39"/>
      <c r="M1" s="7"/>
      <c r="N1" s="7"/>
      <c r="O1" s="7"/>
      <c r="P1" s="7"/>
      <c r="Q1" s="7"/>
      <c r="R1" s="7"/>
      <c r="S1" s="7"/>
      <c r="T1" s="7"/>
      <c r="U1" s="121"/>
      <c r="V1" s="62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41"/>
      <c r="AR1" s="41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62"/>
      <c r="BE1" s="121"/>
    </row>
    <row r="2" spans="1:57" s="37" customFormat="1" ht="15" customHeight="1" x14ac:dyDescent="0.3">
      <c r="A2" s="567" t="s">
        <v>445</v>
      </c>
      <c r="B2" s="567"/>
      <c r="C2" s="567"/>
      <c r="D2" s="567"/>
      <c r="E2" s="567"/>
      <c r="F2" s="567"/>
      <c r="G2" s="567"/>
      <c r="H2" s="74"/>
      <c r="I2" s="75"/>
      <c r="J2" s="75"/>
      <c r="K2" s="8"/>
      <c r="L2" s="39"/>
      <c r="M2" s="7"/>
      <c r="N2" s="7"/>
      <c r="O2" s="7"/>
      <c r="P2" s="7"/>
      <c r="Q2" s="7"/>
      <c r="R2" s="7"/>
      <c r="S2" s="7"/>
      <c r="T2" s="7"/>
      <c r="U2" s="121"/>
      <c r="V2" s="476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1"/>
      <c r="AR2" s="41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62"/>
      <c r="BE2" s="121"/>
    </row>
    <row r="3" spans="1:57" s="37" customFormat="1" ht="22.8" x14ac:dyDescent="0.3">
      <c r="A3" s="568" t="s">
        <v>444</v>
      </c>
      <c r="B3" s="568"/>
      <c r="C3" s="568"/>
      <c r="D3" s="568"/>
      <c r="E3" s="568"/>
      <c r="F3" s="568"/>
      <c r="G3" s="471"/>
      <c r="H3" s="74"/>
      <c r="I3" s="75"/>
      <c r="J3" s="75"/>
      <c r="K3" s="8"/>
      <c r="L3" s="39"/>
      <c r="M3" s="7"/>
      <c r="N3" s="7"/>
      <c r="O3" s="7"/>
      <c r="P3" s="7"/>
      <c r="Q3" s="7"/>
      <c r="R3" s="7"/>
      <c r="S3" s="7"/>
      <c r="T3" s="7"/>
      <c r="U3" s="121"/>
      <c r="V3" s="476"/>
      <c r="W3" s="474"/>
      <c r="X3" s="474"/>
      <c r="Y3" s="474"/>
      <c r="Z3" s="474"/>
      <c r="AA3" s="474"/>
      <c r="AB3" s="474"/>
      <c r="AC3" s="474"/>
      <c r="AD3" s="474"/>
      <c r="AE3" s="474"/>
      <c r="AF3" s="474"/>
      <c r="AG3" s="474"/>
      <c r="AH3" s="474"/>
      <c r="AI3" s="474"/>
      <c r="AJ3" s="474"/>
      <c r="AK3" s="474"/>
      <c r="AL3" s="474"/>
      <c r="AM3" s="474"/>
      <c r="AN3" s="474"/>
      <c r="AO3" s="474"/>
      <c r="AP3" s="474"/>
      <c r="AQ3" s="41"/>
      <c r="AR3" s="41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62"/>
      <c r="BE3" s="121"/>
    </row>
    <row r="4" spans="1:57" ht="15" thickBot="1" x14ac:dyDescent="0.35">
      <c r="A4" s="69" t="s">
        <v>261</v>
      </c>
      <c r="B4" s="36" t="s">
        <v>205</v>
      </c>
      <c r="C4" s="35" t="s">
        <v>130</v>
      </c>
      <c r="D4" s="66" t="s">
        <v>12</v>
      </c>
      <c r="E4" s="35" t="s">
        <v>204</v>
      </c>
      <c r="F4" s="235">
        <v>79801.72</v>
      </c>
      <c r="G4" s="569"/>
      <c r="H4" s="569"/>
      <c r="I4" s="569"/>
      <c r="J4" s="569"/>
      <c r="U4" s="64">
        <v>7850</v>
      </c>
      <c r="V4" s="65">
        <v>7910</v>
      </c>
      <c r="W4" s="65">
        <v>7950</v>
      </c>
      <c r="X4" s="65">
        <v>6730</v>
      </c>
      <c r="Y4" s="65">
        <v>7100</v>
      </c>
      <c r="Z4" s="65">
        <v>5710</v>
      </c>
      <c r="AA4" s="65">
        <v>5130</v>
      </c>
      <c r="AB4" s="65">
        <v>5510</v>
      </c>
      <c r="AC4" s="65">
        <v>7650</v>
      </c>
      <c r="AD4" s="65">
        <v>5750</v>
      </c>
      <c r="AE4" s="65">
        <v>5520</v>
      </c>
      <c r="AF4" s="65">
        <v>7090</v>
      </c>
      <c r="AG4" s="65">
        <v>8570</v>
      </c>
      <c r="AH4" s="65">
        <v>8510</v>
      </c>
      <c r="AI4" s="65">
        <v>8520</v>
      </c>
      <c r="AJ4" s="65">
        <v>8530</v>
      </c>
      <c r="AK4" s="65">
        <v>8590</v>
      </c>
      <c r="AL4" s="65">
        <v>5170</v>
      </c>
      <c r="AM4" s="65">
        <v>6770</v>
      </c>
      <c r="AN4" s="65">
        <v>5540</v>
      </c>
      <c r="AO4" s="65">
        <v>6590</v>
      </c>
      <c r="AP4" s="65">
        <v>6510</v>
      </c>
      <c r="AQ4" s="65">
        <v>5780</v>
      </c>
      <c r="AR4" s="65">
        <v>8540</v>
      </c>
      <c r="AS4" s="65">
        <v>6720</v>
      </c>
      <c r="AT4" s="65">
        <v>5880</v>
      </c>
      <c r="AU4" s="65">
        <v>5820</v>
      </c>
      <c r="AV4" s="477">
        <v>6550</v>
      </c>
      <c r="AW4" s="477">
        <v>7010</v>
      </c>
      <c r="AX4" s="477">
        <v>5840</v>
      </c>
      <c r="AY4" s="477">
        <v>6570</v>
      </c>
      <c r="AZ4" s="489">
        <v>5560</v>
      </c>
      <c r="BA4" s="477">
        <v>5150</v>
      </c>
      <c r="BB4" s="477">
        <v>5870</v>
      </c>
      <c r="BC4" s="477">
        <v>9999</v>
      </c>
      <c r="BD4" s="477">
        <v>7280</v>
      </c>
      <c r="BE4" s="64" t="s">
        <v>269</v>
      </c>
    </row>
    <row r="5" spans="1:57" ht="12.75" customHeight="1" x14ac:dyDescent="0.3">
      <c r="A5" s="8">
        <v>1</v>
      </c>
      <c r="B5" s="236" t="s">
        <v>153</v>
      </c>
      <c r="C5" s="237">
        <v>100</v>
      </c>
      <c r="D5" s="238">
        <f t="shared" ref="D5:D35" si="0">SUM(C5*-1)</f>
        <v>-100</v>
      </c>
      <c r="E5" s="239">
        <v>43855</v>
      </c>
      <c r="F5" s="240">
        <f t="shared" ref="F5:F72" si="1">SUM(F4+D5)</f>
        <v>79701.72</v>
      </c>
      <c r="G5" s="76"/>
      <c r="H5" s="77">
        <v>7850</v>
      </c>
      <c r="I5" s="78">
        <f>C5</f>
        <v>100</v>
      </c>
      <c r="J5" s="77"/>
      <c r="K5" s="38"/>
      <c r="L5" s="7"/>
      <c r="U5" s="61">
        <f>SUM(I5)</f>
        <v>100</v>
      </c>
      <c r="V5" s="63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BE5" s="61">
        <f t="shared" ref="BE5:BE15" si="2">SUM(U5:BD5)-C5</f>
        <v>0</v>
      </c>
    </row>
    <row r="6" spans="1:57" ht="12.75" customHeight="1" x14ac:dyDescent="0.3">
      <c r="A6" s="8">
        <v>1</v>
      </c>
      <c r="B6" s="241" t="s">
        <v>150</v>
      </c>
      <c r="C6" s="242">
        <v>458.65</v>
      </c>
      <c r="D6" s="238">
        <f t="shared" si="0"/>
        <v>-458.65</v>
      </c>
      <c r="E6" s="243" t="s">
        <v>203</v>
      </c>
      <c r="F6" s="240">
        <f t="shared" si="1"/>
        <v>79243.070000000007</v>
      </c>
      <c r="G6" s="79"/>
      <c r="H6" s="77">
        <v>7910</v>
      </c>
      <c r="I6" s="78">
        <f>C6</f>
        <v>458.65</v>
      </c>
      <c r="J6" s="77"/>
      <c r="K6" s="38"/>
      <c r="L6" s="7"/>
      <c r="U6" s="61"/>
      <c r="V6" s="63">
        <f>SUM(I6)</f>
        <v>458.65</v>
      </c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BE6" s="61">
        <f t="shared" si="2"/>
        <v>0</v>
      </c>
    </row>
    <row r="7" spans="1:57" ht="12.75" customHeight="1" x14ac:dyDescent="0.3">
      <c r="A7" s="8">
        <v>1</v>
      </c>
      <c r="B7" s="241" t="s">
        <v>191</v>
      </c>
      <c r="C7" s="242">
        <v>81.95</v>
      </c>
      <c r="D7" s="238">
        <f t="shared" si="0"/>
        <v>-81.95</v>
      </c>
      <c r="E7" s="243" t="s">
        <v>202</v>
      </c>
      <c r="F7" s="240">
        <f t="shared" si="1"/>
        <v>79161.12000000001</v>
      </c>
      <c r="G7" s="79"/>
      <c r="H7" s="77">
        <v>7950</v>
      </c>
      <c r="I7" s="78">
        <f>C7</f>
        <v>81.95</v>
      </c>
      <c r="J7" s="77"/>
      <c r="K7" s="38"/>
      <c r="L7" s="7"/>
      <c r="U7" s="61"/>
      <c r="V7" s="63"/>
      <c r="W7" s="31">
        <f>SUM(I7)</f>
        <v>81.95</v>
      </c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BE7" s="61">
        <f t="shared" si="2"/>
        <v>0</v>
      </c>
    </row>
    <row r="8" spans="1:57" ht="12.75" customHeight="1" x14ac:dyDescent="0.3">
      <c r="A8" s="8">
        <v>1</v>
      </c>
      <c r="B8" s="241" t="s">
        <v>148</v>
      </c>
      <c r="C8" s="242">
        <v>386.23</v>
      </c>
      <c r="D8" s="238">
        <f t="shared" si="0"/>
        <v>-386.23</v>
      </c>
      <c r="E8" s="243" t="s">
        <v>202</v>
      </c>
      <c r="F8" s="240">
        <f t="shared" si="1"/>
        <v>78774.890000000014</v>
      </c>
      <c r="G8" s="79"/>
      <c r="H8" s="77">
        <v>7950</v>
      </c>
      <c r="I8" s="78">
        <f>C8</f>
        <v>386.23</v>
      </c>
      <c r="J8" s="77"/>
      <c r="K8" s="38"/>
      <c r="L8" s="7"/>
      <c r="U8" s="61"/>
      <c r="V8" s="63"/>
      <c r="W8" s="31">
        <f>SUM(I8)</f>
        <v>386.23</v>
      </c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BE8" s="61">
        <f t="shared" si="2"/>
        <v>0</v>
      </c>
    </row>
    <row r="9" spans="1:57" ht="12.75" customHeight="1" x14ac:dyDescent="0.3">
      <c r="A9" s="8">
        <v>1</v>
      </c>
      <c r="B9" s="241" t="s">
        <v>146</v>
      </c>
      <c r="C9" s="242">
        <v>149.99</v>
      </c>
      <c r="D9" s="238">
        <f t="shared" si="0"/>
        <v>-149.99</v>
      </c>
      <c r="E9" s="243" t="s">
        <v>202</v>
      </c>
      <c r="F9" s="240">
        <f t="shared" si="1"/>
        <v>78624.900000000009</v>
      </c>
      <c r="G9" s="79"/>
      <c r="H9" s="77">
        <v>7950</v>
      </c>
      <c r="I9" s="78">
        <f>C9</f>
        <v>149.99</v>
      </c>
      <c r="J9" s="77"/>
      <c r="K9" s="38"/>
      <c r="L9" s="7"/>
      <c r="S9" s="60"/>
      <c r="U9" s="61"/>
      <c r="V9" s="63"/>
      <c r="W9" s="31">
        <f>SUM(I9)</f>
        <v>149.99</v>
      </c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BE9" s="61">
        <f t="shared" si="2"/>
        <v>0</v>
      </c>
    </row>
    <row r="10" spans="1:57" ht="12.75" customHeight="1" x14ac:dyDescent="0.3">
      <c r="A10" s="8">
        <v>1</v>
      </c>
      <c r="B10" s="241" t="s">
        <v>279</v>
      </c>
      <c r="C10" s="242">
        <f>SUM('TS 2019_2020 Est Travel'!G7)</f>
        <v>330.78</v>
      </c>
      <c r="D10" s="238">
        <f t="shared" si="0"/>
        <v>-330.78</v>
      </c>
      <c r="E10" s="243" t="s">
        <v>280</v>
      </c>
      <c r="F10" s="240">
        <f t="shared" si="1"/>
        <v>78294.12000000001</v>
      </c>
      <c r="G10" s="79"/>
      <c r="H10" s="77"/>
      <c r="I10" s="78"/>
      <c r="J10" s="77"/>
      <c r="K10" s="38"/>
      <c r="L10" s="7"/>
      <c r="S10" s="60"/>
      <c r="U10" s="61"/>
      <c r="V10" s="63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>
        <f>SUM(C10)</f>
        <v>330.78</v>
      </c>
      <c r="AP10" s="31"/>
      <c r="AQ10" s="31"/>
      <c r="AR10" s="31"/>
      <c r="AS10" s="31"/>
      <c r="BE10" s="61">
        <f t="shared" si="2"/>
        <v>0</v>
      </c>
    </row>
    <row r="11" spans="1:57" ht="12.75" customHeight="1" x14ac:dyDescent="0.3">
      <c r="A11" s="8">
        <v>1</v>
      </c>
      <c r="B11" s="241" t="s">
        <v>144</v>
      </c>
      <c r="C11" s="242">
        <v>300</v>
      </c>
      <c r="D11" s="238">
        <f t="shared" si="0"/>
        <v>-300</v>
      </c>
      <c r="E11" s="243" t="s">
        <v>200</v>
      </c>
      <c r="F11" s="240">
        <f t="shared" si="1"/>
        <v>77994.12000000001</v>
      </c>
      <c r="G11" s="79"/>
      <c r="H11" s="77">
        <v>6730</v>
      </c>
      <c r="I11" s="78">
        <f>C11</f>
        <v>300</v>
      </c>
      <c r="J11" s="77"/>
      <c r="K11" s="38"/>
      <c r="L11" s="7"/>
      <c r="U11" s="61"/>
      <c r="V11" s="63"/>
      <c r="W11" s="31">
        <f>SUM(I11)</f>
        <v>300</v>
      </c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BE11" s="61">
        <f t="shared" si="2"/>
        <v>0</v>
      </c>
    </row>
    <row r="12" spans="1:57" ht="12.75" customHeight="1" x14ac:dyDescent="0.3">
      <c r="A12" s="8">
        <v>1</v>
      </c>
      <c r="B12" s="244" t="s">
        <v>143</v>
      </c>
      <c r="C12" s="242">
        <v>75</v>
      </c>
      <c r="D12" s="238">
        <f t="shared" si="0"/>
        <v>-75</v>
      </c>
      <c r="E12" s="243" t="s">
        <v>200</v>
      </c>
      <c r="F12" s="240">
        <f t="shared" si="1"/>
        <v>77919.12000000001</v>
      </c>
      <c r="G12" s="79"/>
      <c r="H12" s="77">
        <v>7010</v>
      </c>
      <c r="I12" s="78">
        <f>C12</f>
        <v>75</v>
      </c>
      <c r="J12" s="77"/>
      <c r="K12" s="38"/>
      <c r="L12" s="7"/>
      <c r="U12" s="61"/>
      <c r="V12" s="63"/>
      <c r="W12" s="31">
        <f>SUM(I12)</f>
        <v>75</v>
      </c>
      <c r="X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BE12" s="61">
        <f t="shared" si="2"/>
        <v>0</v>
      </c>
    </row>
    <row r="13" spans="1:57" ht="12.75" customHeight="1" x14ac:dyDescent="0.3">
      <c r="A13" s="8">
        <v>1</v>
      </c>
      <c r="B13" s="241" t="s">
        <v>142</v>
      </c>
      <c r="C13" s="242">
        <v>2500</v>
      </c>
      <c r="D13" s="238">
        <f t="shared" si="0"/>
        <v>-2500</v>
      </c>
      <c r="E13" s="243" t="s">
        <v>201</v>
      </c>
      <c r="F13" s="240">
        <f t="shared" si="1"/>
        <v>75419.12000000001</v>
      </c>
      <c r="G13" s="79"/>
      <c r="H13" s="77">
        <v>7950</v>
      </c>
      <c r="I13" s="78">
        <f>C13</f>
        <v>2500</v>
      </c>
      <c r="J13" s="77"/>
      <c r="K13" s="38"/>
      <c r="L13" s="7"/>
      <c r="U13" s="61"/>
      <c r="V13" s="63"/>
      <c r="X13" s="31"/>
      <c r="Y13" s="31"/>
      <c r="Z13" s="31">
        <f>SUM(I13)</f>
        <v>2500</v>
      </c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BE13" s="61">
        <f t="shared" si="2"/>
        <v>0</v>
      </c>
    </row>
    <row r="14" spans="1:57" ht="12.75" customHeight="1" x14ac:dyDescent="0.3">
      <c r="A14" s="8">
        <v>1</v>
      </c>
      <c r="B14" s="241" t="s">
        <v>139</v>
      </c>
      <c r="C14" s="242">
        <v>750</v>
      </c>
      <c r="D14" s="238">
        <f t="shared" si="0"/>
        <v>-750</v>
      </c>
      <c r="E14" s="243" t="s">
        <v>200</v>
      </c>
      <c r="F14" s="240">
        <f t="shared" si="1"/>
        <v>74669.12000000001</v>
      </c>
      <c r="G14" s="79"/>
      <c r="H14" s="77">
        <v>7950</v>
      </c>
      <c r="I14" s="78">
        <f>C14</f>
        <v>750</v>
      </c>
      <c r="J14" s="77"/>
      <c r="K14" s="38"/>
      <c r="L14" s="7"/>
      <c r="U14" s="61"/>
      <c r="V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2"/>
      <c r="AU14" s="62"/>
      <c r="AV14" s="62"/>
      <c r="AW14" s="63">
        <f>SUM(I14)</f>
        <v>750</v>
      </c>
      <c r="AX14" s="63"/>
      <c r="AY14" s="63"/>
      <c r="AZ14" s="63"/>
      <c r="BA14" s="63"/>
      <c r="BB14" s="63"/>
      <c r="BC14" s="63"/>
      <c r="BE14" s="61">
        <f t="shared" si="2"/>
        <v>0</v>
      </c>
    </row>
    <row r="15" spans="1:57" ht="12.75" customHeight="1" x14ac:dyDescent="0.3">
      <c r="A15" s="8">
        <v>1</v>
      </c>
      <c r="B15" s="241" t="s">
        <v>279</v>
      </c>
      <c r="C15" s="242">
        <f>SUM('TS 2019_2020 Est Travel'!F36:F37)</f>
        <v>1967.22</v>
      </c>
      <c r="D15" s="238">
        <f t="shared" si="0"/>
        <v>-1967.22</v>
      </c>
      <c r="E15" s="243" t="s">
        <v>290</v>
      </c>
      <c r="F15" s="240">
        <f t="shared" si="1"/>
        <v>72701.900000000009</v>
      </c>
      <c r="G15" s="79"/>
      <c r="H15" s="77"/>
      <c r="I15" s="78"/>
      <c r="J15" s="77"/>
      <c r="K15" s="38"/>
      <c r="L15" s="7"/>
      <c r="U15" s="61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2"/>
      <c r="AU15" s="62"/>
      <c r="AV15" s="63">
        <f>SUM(C15)</f>
        <v>1967.22</v>
      </c>
      <c r="AW15" s="63"/>
      <c r="AX15" s="63"/>
      <c r="AY15" s="63"/>
      <c r="AZ15" s="63"/>
      <c r="BA15" s="63"/>
      <c r="BB15" s="63"/>
      <c r="BC15" s="63"/>
      <c r="BE15" s="61">
        <f t="shared" si="2"/>
        <v>0</v>
      </c>
    </row>
    <row r="16" spans="1:57" ht="12.75" customHeight="1" thickBot="1" x14ac:dyDescent="0.35">
      <c r="A16" s="8">
        <v>1</v>
      </c>
      <c r="B16" s="241" t="s">
        <v>279</v>
      </c>
      <c r="C16" s="242">
        <f>SUM('TS 2019_2020 Est Travel'!G10+'TS 2019_2020 Est Travel'!G13)</f>
        <v>1146</v>
      </c>
      <c r="D16" s="238">
        <f t="shared" si="0"/>
        <v>-1146</v>
      </c>
      <c r="E16" s="243" t="s">
        <v>281</v>
      </c>
      <c r="F16" s="240">
        <f t="shared" si="1"/>
        <v>71555.900000000009</v>
      </c>
      <c r="G16" s="77"/>
      <c r="H16" s="77"/>
      <c r="I16" s="79"/>
      <c r="J16" s="77"/>
      <c r="K16" s="38"/>
      <c r="L16" s="7"/>
      <c r="U16" s="100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>
        <f>SUM(C16)</f>
        <v>1146</v>
      </c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100"/>
    </row>
    <row r="17" spans="1:57" ht="12.75" customHeight="1" x14ac:dyDescent="0.3">
      <c r="B17" s="241"/>
      <c r="C17" s="242"/>
      <c r="D17" s="238"/>
      <c r="E17" s="245" t="s">
        <v>282</v>
      </c>
      <c r="F17" s="240">
        <f t="shared" si="1"/>
        <v>71555.900000000009</v>
      </c>
      <c r="G17" s="77"/>
      <c r="H17" s="77"/>
      <c r="I17" s="79"/>
      <c r="J17" s="77"/>
      <c r="K17" s="38"/>
      <c r="L17" s="7"/>
      <c r="U17" s="107">
        <f t="shared" ref="U17:BD17" si="3">SUM(U5:U16)</f>
        <v>100</v>
      </c>
      <c r="V17" s="108">
        <f t="shared" si="3"/>
        <v>458.65</v>
      </c>
      <c r="W17" s="108">
        <f t="shared" si="3"/>
        <v>993.17000000000007</v>
      </c>
      <c r="X17" s="108">
        <f t="shared" si="3"/>
        <v>0</v>
      </c>
      <c r="Y17" s="108">
        <f t="shared" si="3"/>
        <v>0</v>
      </c>
      <c r="Z17" s="108">
        <f t="shared" si="3"/>
        <v>2500</v>
      </c>
      <c r="AA17" s="108">
        <f t="shared" si="3"/>
        <v>0</v>
      </c>
      <c r="AB17" s="108">
        <f t="shared" si="3"/>
        <v>0</v>
      </c>
      <c r="AC17" s="108">
        <f t="shared" si="3"/>
        <v>0</v>
      </c>
      <c r="AD17" s="108">
        <f t="shared" si="3"/>
        <v>0</v>
      </c>
      <c r="AE17" s="108">
        <f t="shared" si="3"/>
        <v>0</v>
      </c>
      <c r="AF17" s="108">
        <f t="shared" si="3"/>
        <v>0</v>
      </c>
      <c r="AG17" s="108">
        <f t="shared" si="3"/>
        <v>0</v>
      </c>
      <c r="AH17" s="108">
        <f t="shared" si="3"/>
        <v>0</v>
      </c>
      <c r="AI17" s="108">
        <f t="shared" si="3"/>
        <v>0</v>
      </c>
      <c r="AJ17" s="108">
        <f t="shared" si="3"/>
        <v>0</v>
      </c>
      <c r="AK17" s="108">
        <f t="shared" si="3"/>
        <v>0</v>
      </c>
      <c r="AL17" s="108">
        <f t="shared" si="3"/>
        <v>0</v>
      </c>
      <c r="AM17" s="108">
        <f t="shared" si="3"/>
        <v>0</v>
      </c>
      <c r="AN17" s="108">
        <f t="shared" si="3"/>
        <v>0</v>
      </c>
      <c r="AO17" s="108">
        <f t="shared" si="3"/>
        <v>330.78</v>
      </c>
      <c r="AP17" s="108">
        <f t="shared" si="3"/>
        <v>0</v>
      </c>
      <c r="AQ17" s="108">
        <f t="shared" si="3"/>
        <v>0</v>
      </c>
      <c r="AR17" s="108">
        <f t="shared" si="3"/>
        <v>0</v>
      </c>
      <c r="AS17" s="108">
        <f t="shared" si="3"/>
        <v>1146</v>
      </c>
      <c r="AT17" s="108">
        <f t="shared" si="3"/>
        <v>0</v>
      </c>
      <c r="AU17" s="108">
        <f t="shared" si="3"/>
        <v>0</v>
      </c>
      <c r="AV17" s="108">
        <f t="shared" si="3"/>
        <v>1967.22</v>
      </c>
      <c r="AW17" s="108">
        <f t="shared" si="3"/>
        <v>750</v>
      </c>
      <c r="AX17" s="108">
        <f t="shared" si="3"/>
        <v>0</v>
      </c>
      <c r="AY17" s="108">
        <f t="shared" si="3"/>
        <v>0</v>
      </c>
      <c r="AZ17" s="108">
        <f t="shared" si="3"/>
        <v>0</v>
      </c>
      <c r="BA17" s="108">
        <f t="shared" si="3"/>
        <v>0</v>
      </c>
      <c r="BB17" s="108">
        <f t="shared" si="3"/>
        <v>0</v>
      </c>
      <c r="BC17" s="108">
        <f t="shared" si="3"/>
        <v>0</v>
      </c>
      <c r="BD17" s="108">
        <f t="shared" si="3"/>
        <v>0</v>
      </c>
      <c r="BE17" s="106"/>
    </row>
    <row r="18" spans="1:57" ht="12.75" customHeight="1" x14ac:dyDescent="0.3">
      <c r="A18" s="403">
        <v>2</v>
      </c>
      <c r="B18" s="398" t="s">
        <v>450</v>
      </c>
      <c r="C18" s="399">
        <f>SUM('BB Example 2 _ Cash Flows'!C18)</f>
        <v>5000</v>
      </c>
      <c r="D18" s="400">
        <f t="shared" ref="D18" si="4">SUM(C18*-1)</f>
        <v>-5000</v>
      </c>
      <c r="E18" s="401" t="s">
        <v>390</v>
      </c>
      <c r="F18" s="402">
        <f t="shared" si="1"/>
        <v>66555.900000000009</v>
      </c>
      <c r="G18" s="77"/>
      <c r="H18" s="77"/>
      <c r="I18" s="79"/>
      <c r="J18" s="77"/>
      <c r="K18" s="38"/>
      <c r="L18" s="7"/>
      <c r="U18" s="61"/>
      <c r="V18" s="63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BC18" s="31">
        <f>SUM(C18)</f>
        <v>5000</v>
      </c>
      <c r="BE18" s="61">
        <f>SUM(U18:BD18)-C18</f>
        <v>0</v>
      </c>
    </row>
    <row r="19" spans="1:57" ht="12.75" customHeight="1" x14ac:dyDescent="0.3">
      <c r="A19" s="8">
        <v>2</v>
      </c>
      <c r="B19" s="241" t="s">
        <v>199</v>
      </c>
      <c r="C19" s="242">
        <v>6000</v>
      </c>
      <c r="D19" s="238">
        <f t="shared" si="0"/>
        <v>-6000</v>
      </c>
      <c r="E19" s="243" t="s">
        <v>195</v>
      </c>
      <c r="F19" s="240">
        <f t="shared" si="1"/>
        <v>60555.900000000009</v>
      </c>
      <c r="G19" s="77"/>
      <c r="H19" s="77">
        <v>5130</v>
      </c>
      <c r="I19" s="79">
        <f>SUM(C19)</f>
        <v>6000</v>
      </c>
      <c r="J19" s="77"/>
      <c r="K19" s="38"/>
      <c r="L19" s="7"/>
      <c r="U19" s="61"/>
      <c r="V19" s="63"/>
      <c r="W19" s="31"/>
      <c r="X19" s="31"/>
      <c r="Y19" s="31"/>
      <c r="Z19" s="31"/>
      <c r="AA19" s="31">
        <f>SUM(I19)</f>
        <v>6000</v>
      </c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BE19" s="61">
        <f>SUM(U19:BD19)-C19</f>
        <v>0</v>
      </c>
    </row>
    <row r="20" spans="1:57" ht="12.75" customHeight="1" x14ac:dyDescent="0.3">
      <c r="A20" s="215">
        <v>2</v>
      </c>
      <c r="B20" s="479" t="s">
        <v>398</v>
      </c>
      <c r="C20" s="251">
        <v>2000</v>
      </c>
      <c r="D20" s="252">
        <f t="shared" si="0"/>
        <v>-2000</v>
      </c>
      <c r="E20" s="480" t="s">
        <v>397</v>
      </c>
      <c r="F20" s="254">
        <f t="shared" si="1"/>
        <v>58555.900000000009</v>
      </c>
      <c r="G20" s="77"/>
      <c r="H20" s="77"/>
      <c r="I20" s="79"/>
      <c r="J20" s="77"/>
      <c r="K20" s="38"/>
      <c r="L20" s="7"/>
      <c r="U20" s="61"/>
      <c r="V20" s="63"/>
      <c r="W20" s="31"/>
      <c r="X20" s="31"/>
      <c r="Y20" s="31"/>
      <c r="Z20" s="31"/>
      <c r="AA20" s="31">
        <f>SUM(C20)</f>
        <v>2000</v>
      </c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BE20" s="61">
        <f t="shared" ref="BE20:BE38" si="5">SUM(U20:BD20)-C20</f>
        <v>0</v>
      </c>
    </row>
    <row r="21" spans="1:57" ht="12.75" customHeight="1" x14ac:dyDescent="0.3">
      <c r="A21" s="215">
        <v>2</v>
      </c>
      <c r="B21" s="479" t="s">
        <v>401</v>
      </c>
      <c r="C21" s="251">
        <v>800</v>
      </c>
      <c r="D21" s="252">
        <f t="shared" si="0"/>
        <v>-800</v>
      </c>
      <c r="E21" s="480" t="s">
        <v>402</v>
      </c>
      <c r="F21" s="254">
        <f t="shared" si="1"/>
        <v>57755.900000000009</v>
      </c>
      <c r="G21" s="77"/>
      <c r="H21" s="77"/>
      <c r="I21" s="79"/>
      <c r="J21" s="77"/>
      <c r="K21" s="38"/>
      <c r="L21" s="7"/>
      <c r="U21" s="61"/>
      <c r="V21" s="63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W21" s="31">
        <f>SUM(C21)</f>
        <v>800</v>
      </c>
      <c r="BE21" s="61">
        <f t="shared" si="5"/>
        <v>0</v>
      </c>
    </row>
    <row r="22" spans="1:57" ht="12.75" customHeight="1" x14ac:dyDescent="0.3">
      <c r="A22" s="8">
        <v>2</v>
      </c>
      <c r="B22" s="241" t="s">
        <v>177</v>
      </c>
      <c r="C22" s="242">
        <v>2000</v>
      </c>
      <c r="D22" s="238">
        <f t="shared" si="0"/>
        <v>-2000</v>
      </c>
      <c r="E22" s="243">
        <v>43862</v>
      </c>
      <c r="F22" s="478">
        <f t="shared" si="1"/>
        <v>55755.900000000009</v>
      </c>
      <c r="G22" s="77"/>
      <c r="H22" s="77"/>
      <c r="I22" s="77"/>
      <c r="J22" s="77"/>
      <c r="K22" s="38"/>
      <c r="L22" s="7"/>
      <c r="U22" s="61"/>
      <c r="V22" s="63">
        <v>250</v>
      </c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BD22" s="63">
        <v>1750</v>
      </c>
      <c r="BE22" s="61">
        <f t="shared" si="5"/>
        <v>0</v>
      </c>
    </row>
    <row r="23" spans="1:57" ht="12.75" customHeight="1" x14ac:dyDescent="0.3">
      <c r="A23" s="8">
        <v>2</v>
      </c>
      <c r="B23" s="241" t="s">
        <v>176</v>
      </c>
      <c r="C23" s="242">
        <v>7500</v>
      </c>
      <c r="D23" s="238">
        <f t="shared" si="0"/>
        <v>-7500</v>
      </c>
      <c r="E23" s="243">
        <v>43862</v>
      </c>
      <c r="F23" s="240">
        <f t="shared" si="1"/>
        <v>48255.900000000009</v>
      </c>
      <c r="G23" s="77"/>
      <c r="H23" s="77">
        <v>5510</v>
      </c>
      <c r="I23" s="78">
        <f>C23</f>
        <v>7500</v>
      </c>
      <c r="J23" s="77"/>
      <c r="K23" s="38"/>
      <c r="L23" s="7"/>
      <c r="U23" s="61"/>
      <c r="V23" s="63"/>
      <c r="W23" s="31"/>
      <c r="X23" s="31"/>
      <c r="Y23" s="31"/>
      <c r="Z23" s="31"/>
      <c r="AA23" s="31"/>
      <c r="AB23" s="31">
        <f>SUM(I23)</f>
        <v>7500</v>
      </c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BE23" s="61">
        <f t="shared" si="5"/>
        <v>0</v>
      </c>
    </row>
    <row r="24" spans="1:57" s="7" customFormat="1" ht="12.75" customHeight="1" x14ac:dyDescent="0.2">
      <c r="A24" s="8">
        <v>2</v>
      </c>
      <c r="B24" s="241" t="s">
        <v>175</v>
      </c>
      <c r="C24" s="242">
        <v>550</v>
      </c>
      <c r="D24" s="238">
        <f t="shared" si="0"/>
        <v>-550</v>
      </c>
      <c r="E24" s="243">
        <v>43862</v>
      </c>
      <c r="F24" s="240">
        <f t="shared" si="1"/>
        <v>47705.900000000009</v>
      </c>
      <c r="G24" s="77"/>
      <c r="H24" s="77">
        <v>7650</v>
      </c>
      <c r="I24" s="78">
        <f>C24</f>
        <v>550</v>
      </c>
      <c r="J24" s="77"/>
      <c r="K24" s="38"/>
      <c r="U24" s="61"/>
      <c r="V24" s="63"/>
      <c r="W24" s="31"/>
      <c r="X24" s="31"/>
      <c r="Y24" s="31"/>
      <c r="Z24" s="31"/>
      <c r="AA24" s="31"/>
      <c r="AB24" s="31"/>
      <c r="AC24" s="31">
        <f>SUM(I24)</f>
        <v>550</v>
      </c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BD24" s="62"/>
      <c r="BE24" s="61">
        <f t="shared" si="5"/>
        <v>0</v>
      </c>
    </row>
    <row r="25" spans="1:57" s="7" customFormat="1" ht="12.75" customHeight="1" x14ac:dyDescent="0.2">
      <c r="A25" s="8">
        <v>2</v>
      </c>
      <c r="B25" s="241" t="s">
        <v>174</v>
      </c>
      <c r="C25" s="242">
        <v>1800</v>
      </c>
      <c r="D25" s="238">
        <f t="shared" si="0"/>
        <v>-1800</v>
      </c>
      <c r="E25" s="243" t="s">
        <v>198</v>
      </c>
      <c r="F25" s="240">
        <f t="shared" si="1"/>
        <v>45905.900000000009</v>
      </c>
      <c r="G25" s="77"/>
      <c r="H25" s="77">
        <v>7650</v>
      </c>
      <c r="I25" s="78">
        <f>C25</f>
        <v>1800</v>
      </c>
      <c r="J25" s="77"/>
      <c r="K25" s="38"/>
      <c r="U25" s="61"/>
      <c r="V25" s="63"/>
      <c r="W25" s="31"/>
      <c r="X25" s="31"/>
      <c r="Y25" s="31"/>
      <c r="Z25" s="31"/>
      <c r="AA25" s="31"/>
      <c r="AB25" s="31"/>
      <c r="AC25" s="31">
        <f>SUM(I25)</f>
        <v>1800</v>
      </c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BD25" s="62"/>
      <c r="BE25" s="61">
        <f t="shared" si="5"/>
        <v>0</v>
      </c>
    </row>
    <row r="26" spans="1:57" s="7" customFormat="1" ht="12.75" customHeight="1" x14ac:dyDescent="0.2">
      <c r="A26" s="8">
        <v>2</v>
      </c>
      <c r="B26" s="241" t="s">
        <v>172</v>
      </c>
      <c r="C26" s="242">
        <v>9917</v>
      </c>
      <c r="D26" s="238">
        <f t="shared" si="0"/>
        <v>-9917</v>
      </c>
      <c r="E26" s="243">
        <v>43862</v>
      </c>
      <c r="F26" s="240">
        <f t="shared" si="1"/>
        <v>35988.900000000009</v>
      </c>
      <c r="G26" s="77"/>
      <c r="H26" s="77">
        <v>5750</v>
      </c>
      <c r="I26" s="80">
        <v>1584</v>
      </c>
      <c r="J26" s="77">
        <v>5520</v>
      </c>
      <c r="K26" s="38">
        <v>8333</v>
      </c>
      <c r="U26" s="61"/>
      <c r="V26" s="63"/>
      <c r="W26" s="31"/>
      <c r="X26" s="31"/>
      <c r="Y26" s="31"/>
      <c r="Z26" s="31"/>
      <c r="AA26" s="31"/>
      <c r="AB26" s="31"/>
      <c r="AC26" s="31"/>
      <c r="AD26" s="31">
        <f>SUM(I26)</f>
        <v>1584</v>
      </c>
      <c r="AE26" s="31">
        <f>SUM(K26)</f>
        <v>8333</v>
      </c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BD26" s="62"/>
      <c r="BE26" s="61">
        <f t="shared" si="5"/>
        <v>0</v>
      </c>
    </row>
    <row r="27" spans="1:57" s="7" customFormat="1" ht="12.75" customHeight="1" x14ac:dyDescent="0.2">
      <c r="A27" s="8">
        <v>2</v>
      </c>
      <c r="B27" s="241" t="s">
        <v>171</v>
      </c>
      <c r="C27" s="242">
        <v>34.950000000000003</v>
      </c>
      <c r="D27" s="238">
        <f t="shared" si="0"/>
        <v>-34.950000000000003</v>
      </c>
      <c r="E27" s="243">
        <v>43862</v>
      </c>
      <c r="F27" s="240">
        <f t="shared" si="1"/>
        <v>35953.950000000012</v>
      </c>
      <c r="G27" s="77"/>
      <c r="H27" s="77">
        <v>7850</v>
      </c>
      <c r="I27" s="78">
        <f>C27</f>
        <v>34.950000000000003</v>
      </c>
      <c r="J27" s="77"/>
      <c r="K27" s="38"/>
      <c r="U27" s="61">
        <f>SUM(I27)</f>
        <v>34.950000000000003</v>
      </c>
      <c r="V27" s="63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BD27" s="62"/>
      <c r="BE27" s="61">
        <f t="shared" si="5"/>
        <v>0</v>
      </c>
    </row>
    <row r="28" spans="1:57" s="7" customFormat="1" ht="12.75" customHeight="1" x14ac:dyDescent="0.2">
      <c r="A28" s="8">
        <v>2</v>
      </c>
      <c r="B28" s="241" t="s">
        <v>169</v>
      </c>
      <c r="C28" s="242">
        <v>150</v>
      </c>
      <c r="D28" s="238">
        <f t="shared" si="0"/>
        <v>-150</v>
      </c>
      <c r="E28" s="243" t="s">
        <v>197</v>
      </c>
      <c r="F28" s="240">
        <f t="shared" si="1"/>
        <v>35803.950000000012</v>
      </c>
      <c r="G28" s="77"/>
      <c r="H28" s="77">
        <v>7090</v>
      </c>
      <c r="I28" s="78">
        <f>C28</f>
        <v>150</v>
      </c>
      <c r="J28" s="77"/>
      <c r="K28" s="38"/>
      <c r="U28" s="61"/>
      <c r="V28" s="63"/>
      <c r="W28" s="31"/>
      <c r="X28" s="31"/>
      <c r="Y28" s="31"/>
      <c r="Z28" s="31"/>
      <c r="AA28" s="31"/>
      <c r="AB28" s="31"/>
      <c r="AC28" s="31"/>
      <c r="AD28" s="31"/>
      <c r="AE28" s="31"/>
      <c r="AF28" s="31">
        <f>SUM(I28)</f>
        <v>150</v>
      </c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BD28" s="62"/>
      <c r="BE28" s="61">
        <f t="shared" si="5"/>
        <v>0</v>
      </c>
    </row>
    <row r="29" spans="1:57" s="7" customFormat="1" ht="12.75" customHeight="1" x14ac:dyDescent="0.2">
      <c r="A29" s="215">
        <v>2</v>
      </c>
      <c r="B29" s="479" t="s">
        <v>418</v>
      </c>
      <c r="C29" s="251">
        <v>1500</v>
      </c>
      <c r="D29" s="252">
        <f t="shared" si="0"/>
        <v>-1500</v>
      </c>
      <c r="E29" s="480" t="s">
        <v>419</v>
      </c>
      <c r="F29" s="254">
        <f t="shared" si="1"/>
        <v>34303.950000000012</v>
      </c>
      <c r="G29" s="77"/>
      <c r="H29" s="77"/>
      <c r="I29" s="78">
        <f>C29</f>
        <v>1500</v>
      </c>
      <c r="J29" s="77"/>
      <c r="K29" s="38"/>
      <c r="U29" s="61"/>
      <c r="V29" s="63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BA29" s="31">
        <f>SUM(C29)</f>
        <v>1500</v>
      </c>
      <c r="BD29" s="62"/>
      <c r="BE29" s="61">
        <f t="shared" si="5"/>
        <v>0</v>
      </c>
    </row>
    <row r="30" spans="1:57" s="7" customFormat="1" ht="12.75" customHeight="1" x14ac:dyDescent="0.2">
      <c r="A30" s="215">
        <v>2</v>
      </c>
      <c r="B30" s="479" t="s">
        <v>417</v>
      </c>
      <c r="C30" s="251">
        <v>1200</v>
      </c>
      <c r="D30" s="252">
        <f t="shared" si="0"/>
        <v>-1200</v>
      </c>
      <c r="E30" s="480" t="s">
        <v>419</v>
      </c>
      <c r="F30" s="254">
        <f t="shared" si="1"/>
        <v>33103.950000000012</v>
      </c>
      <c r="G30" s="77"/>
      <c r="H30" s="77"/>
      <c r="I30" s="78">
        <f>C30</f>
        <v>1200</v>
      </c>
      <c r="J30" s="77"/>
      <c r="K30" s="38"/>
      <c r="U30" s="61"/>
      <c r="V30" s="63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>
        <f>SUM(C30)</f>
        <v>1200</v>
      </c>
      <c r="BD30" s="62"/>
      <c r="BE30" s="61">
        <f t="shared" si="5"/>
        <v>0</v>
      </c>
    </row>
    <row r="31" spans="1:57" s="7" customFormat="1" ht="12.75" customHeight="1" x14ac:dyDescent="0.2">
      <c r="A31" s="8">
        <v>2</v>
      </c>
      <c r="B31" s="241" t="s">
        <v>155</v>
      </c>
      <c r="C31" s="242">
        <v>18100</v>
      </c>
      <c r="D31" s="238">
        <f t="shared" si="0"/>
        <v>-18100</v>
      </c>
      <c r="E31" s="243">
        <v>43866</v>
      </c>
      <c r="F31" s="240">
        <f t="shared" si="1"/>
        <v>15003.950000000012</v>
      </c>
      <c r="G31" s="77"/>
      <c r="H31" s="77">
        <v>8570</v>
      </c>
      <c r="I31" s="80">
        <v>1375</v>
      </c>
      <c r="J31" s="77" t="s">
        <v>207</v>
      </c>
      <c r="K31" s="38" t="s">
        <v>207</v>
      </c>
      <c r="L31" s="7">
        <v>8510</v>
      </c>
      <c r="M31" s="38">
        <v>13600</v>
      </c>
      <c r="N31" s="50">
        <v>8250</v>
      </c>
      <c r="O31" s="38">
        <v>1000</v>
      </c>
      <c r="P31" s="50">
        <v>8530</v>
      </c>
      <c r="Q31" s="123">
        <v>2000</v>
      </c>
      <c r="R31" s="50">
        <v>8590</v>
      </c>
      <c r="S31" s="38">
        <v>125</v>
      </c>
      <c r="T31" s="51">
        <f>SUM(I31+M31+O31+Q31+S31)</f>
        <v>18100</v>
      </c>
      <c r="U31" s="61"/>
      <c r="V31" s="63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>
        <f>SUM(I31)</f>
        <v>1375</v>
      </c>
      <c r="AH31" s="31">
        <f>SUM(M31)</f>
        <v>13600</v>
      </c>
      <c r="AI31" s="31">
        <f>SUM(O31)</f>
        <v>1000</v>
      </c>
      <c r="AJ31" s="31">
        <f>SUM(Q31)</f>
        <v>2000</v>
      </c>
      <c r="AK31" s="31">
        <f>SUM(S31)</f>
        <v>125</v>
      </c>
      <c r="AL31" s="31"/>
      <c r="AM31" s="31"/>
      <c r="AN31" s="31"/>
      <c r="AO31" s="31"/>
      <c r="AP31" s="31"/>
      <c r="AQ31" s="31"/>
      <c r="AR31" s="31"/>
      <c r="AS31" s="31"/>
      <c r="BD31" s="62"/>
      <c r="BE31" s="61">
        <f t="shared" si="5"/>
        <v>0</v>
      </c>
    </row>
    <row r="32" spans="1:57" s="7" customFormat="1" ht="12.75" customHeight="1" x14ac:dyDescent="0.2">
      <c r="A32" s="8">
        <v>2</v>
      </c>
      <c r="B32" s="241" t="s">
        <v>153</v>
      </c>
      <c r="C32" s="242">
        <v>100</v>
      </c>
      <c r="D32" s="238">
        <f t="shared" si="0"/>
        <v>-100</v>
      </c>
      <c r="E32" s="243">
        <v>43869</v>
      </c>
      <c r="F32" s="240">
        <f t="shared" si="1"/>
        <v>14903.950000000012</v>
      </c>
      <c r="G32" s="77"/>
      <c r="H32" s="77">
        <v>7850</v>
      </c>
      <c r="I32" s="78">
        <f>C32</f>
        <v>100</v>
      </c>
      <c r="J32" s="77"/>
      <c r="K32" s="38"/>
      <c r="U32" s="61">
        <f>SUM(I32)</f>
        <v>100</v>
      </c>
      <c r="V32" s="63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BD32" s="62"/>
      <c r="BE32" s="61">
        <f t="shared" si="5"/>
        <v>0</v>
      </c>
    </row>
    <row r="33" spans="1:57" s="7" customFormat="1" ht="12.75" customHeight="1" x14ac:dyDescent="0.2">
      <c r="A33" s="215">
        <v>2</v>
      </c>
      <c r="B33" s="479" t="s">
        <v>415</v>
      </c>
      <c r="C33" s="251">
        <v>200</v>
      </c>
      <c r="D33" s="252">
        <f t="shared" si="0"/>
        <v>-200</v>
      </c>
      <c r="E33" s="480" t="s">
        <v>416</v>
      </c>
      <c r="F33" s="254">
        <f t="shared" si="1"/>
        <v>14703.950000000012</v>
      </c>
      <c r="G33" s="77"/>
      <c r="H33" s="77"/>
      <c r="I33" s="78"/>
      <c r="J33" s="77"/>
      <c r="K33" s="38"/>
      <c r="U33" s="61"/>
      <c r="V33" s="63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Y33" s="31">
        <f>SUM(C33)</f>
        <v>200</v>
      </c>
      <c r="AZ33" s="31"/>
      <c r="BA33" s="31"/>
      <c r="BD33" s="62"/>
      <c r="BE33" s="61">
        <f t="shared" si="5"/>
        <v>0</v>
      </c>
    </row>
    <row r="34" spans="1:57" s="7" customFormat="1" ht="12.75" customHeight="1" x14ac:dyDescent="0.2">
      <c r="A34" s="8">
        <v>2</v>
      </c>
      <c r="B34" s="241" t="s">
        <v>279</v>
      </c>
      <c r="C34" s="242">
        <f>SUM('TS 2019_2020 Est Travel'!G16+'TS 2019_2020 Est Travel'!G20+'TS 2019_2020 Est Travel'!G23)</f>
        <v>2939.25</v>
      </c>
      <c r="D34" s="238">
        <f t="shared" si="0"/>
        <v>-2939.25</v>
      </c>
      <c r="E34" s="243" t="s">
        <v>292</v>
      </c>
      <c r="F34" s="240">
        <f t="shared" si="1"/>
        <v>11764.700000000012</v>
      </c>
      <c r="G34" s="77"/>
      <c r="H34" s="77"/>
      <c r="I34" s="78"/>
      <c r="J34" s="77"/>
      <c r="K34" s="38"/>
      <c r="U34" s="61"/>
      <c r="V34" s="63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V34" s="31">
        <f>SUM(C34)</f>
        <v>2939.25</v>
      </c>
      <c r="AW34" s="31"/>
      <c r="AX34" s="31"/>
      <c r="AY34" s="31"/>
      <c r="AZ34" s="31"/>
      <c r="BA34" s="31"/>
      <c r="BB34" s="31"/>
      <c r="BC34" s="31"/>
      <c r="BD34" s="62"/>
      <c r="BE34" s="61">
        <f t="shared" si="5"/>
        <v>0</v>
      </c>
    </row>
    <row r="35" spans="1:57" s="7" customFormat="1" ht="12.75" customHeight="1" x14ac:dyDescent="0.2">
      <c r="A35" s="8">
        <v>2</v>
      </c>
      <c r="B35" s="241" t="s">
        <v>196</v>
      </c>
      <c r="C35" s="242">
        <v>1500</v>
      </c>
      <c r="D35" s="238">
        <f t="shared" si="0"/>
        <v>-1500</v>
      </c>
      <c r="E35" s="243" t="s">
        <v>195</v>
      </c>
      <c r="F35" s="240">
        <f t="shared" si="1"/>
        <v>10264.700000000012</v>
      </c>
      <c r="G35" s="77"/>
      <c r="H35" s="77">
        <v>5170</v>
      </c>
      <c r="I35" s="79">
        <f>SUM(C35)</f>
        <v>1500</v>
      </c>
      <c r="J35" s="77"/>
      <c r="K35" s="38"/>
      <c r="U35" s="61"/>
      <c r="V35" s="63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>
        <f>SUM(I35)</f>
        <v>1500</v>
      </c>
      <c r="AM35" s="31"/>
      <c r="AN35" s="31"/>
      <c r="AO35" s="31"/>
      <c r="AP35" s="31"/>
      <c r="AQ35" s="31"/>
      <c r="AR35" s="31"/>
      <c r="AS35" s="31"/>
      <c r="BD35" s="62"/>
      <c r="BE35" s="61">
        <f t="shared" si="5"/>
        <v>0</v>
      </c>
    </row>
    <row r="36" spans="1:57" s="7" customFormat="1" ht="12.75" customHeight="1" x14ac:dyDescent="0.2">
      <c r="A36" s="142">
        <v>2</v>
      </c>
      <c r="B36" s="246" t="s">
        <v>375</v>
      </c>
      <c r="C36" s="246"/>
      <c r="D36" s="247">
        <v>88000</v>
      </c>
      <c r="E36" s="493" t="s">
        <v>439</v>
      </c>
      <c r="F36" s="249">
        <f t="shared" si="1"/>
        <v>98264.700000000012</v>
      </c>
      <c r="G36" s="81"/>
      <c r="H36" s="77" t="s">
        <v>207</v>
      </c>
      <c r="I36" s="77" t="s">
        <v>207</v>
      </c>
      <c r="J36" s="77"/>
      <c r="K36" s="38"/>
      <c r="U36" s="61"/>
      <c r="V36" s="63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BD36" s="62"/>
      <c r="BE36" s="61">
        <f t="shared" si="5"/>
        <v>0</v>
      </c>
    </row>
    <row r="37" spans="1:57" s="7" customFormat="1" ht="12.75" customHeight="1" x14ac:dyDescent="0.2">
      <c r="A37" s="8">
        <v>2</v>
      </c>
      <c r="B37" s="241" t="s">
        <v>162</v>
      </c>
      <c r="C37" s="242">
        <v>60</v>
      </c>
      <c r="D37" s="238">
        <f t="shared" ref="D37:D69" si="6">SUM(C37*-1)</f>
        <v>-60</v>
      </c>
      <c r="E37" s="243">
        <v>43876</v>
      </c>
      <c r="F37" s="240">
        <f t="shared" si="1"/>
        <v>98204.700000000012</v>
      </c>
      <c r="G37" s="77"/>
      <c r="H37" s="77">
        <v>7850</v>
      </c>
      <c r="I37" s="78">
        <f>C37</f>
        <v>60</v>
      </c>
      <c r="J37" s="77"/>
      <c r="K37" s="38"/>
      <c r="U37" s="61">
        <f>SUM(I37)</f>
        <v>60</v>
      </c>
      <c r="V37" s="63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BD37" s="62"/>
      <c r="BE37" s="61">
        <f t="shared" si="5"/>
        <v>0</v>
      </c>
    </row>
    <row r="38" spans="1:57" s="7" customFormat="1" ht="12.75" customHeight="1" x14ac:dyDescent="0.2">
      <c r="A38" s="8">
        <v>2</v>
      </c>
      <c r="B38" s="241" t="s">
        <v>165</v>
      </c>
      <c r="C38" s="242">
        <v>200</v>
      </c>
      <c r="D38" s="238">
        <f t="shared" si="6"/>
        <v>-200</v>
      </c>
      <c r="E38" s="243">
        <v>43876</v>
      </c>
      <c r="F38" s="240">
        <f t="shared" si="1"/>
        <v>98004.700000000012</v>
      </c>
      <c r="G38" s="77"/>
      <c r="H38" s="77">
        <v>6770</v>
      </c>
      <c r="I38" s="78">
        <f>C38</f>
        <v>200</v>
      </c>
      <c r="J38" s="77"/>
      <c r="K38" s="38"/>
      <c r="U38" s="61"/>
      <c r="V38" s="63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>
        <f>SUM(I38)</f>
        <v>200</v>
      </c>
      <c r="AN38" s="31"/>
      <c r="AO38" s="31"/>
      <c r="AP38" s="31"/>
      <c r="AQ38" s="31"/>
      <c r="AR38" s="31"/>
      <c r="AS38" s="31"/>
      <c r="BD38" s="62"/>
      <c r="BE38" s="61">
        <f t="shared" si="5"/>
        <v>0</v>
      </c>
    </row>
    <row r="39" spans="1:57" s="7" customFormat="1" ht="12.75" customHeight="1" x14ac:dyDescent="0.2">
      <c r="A39" s="8">
        <v>2</v>
      </c>
      <c r="B39" s="244" t="s">
        <v>164</v>
      </c>
      <c r="C39" s="242">
        <v>625</v>
      </c>
      <c r="D39" s="238">
        <f t="shared" si="6"/>
        <v>-625</v>
      </c>
      <c r="E39" s="243" t="s">
        <v>193</v>
      </c>
      <c r="F39" s="240">
        <f t="shared" si="1"/>
        <v>97379.700000000012</v>
      </c>
      <c r="G39" s="77"/>
      <c r="H39" s="77">
        <v>5540</v>
      </c>
      <c r="I39" s="78">
        <f>C39</f>
        <v>625</v>
      </c>
      <c r="J39" s="77"/>
      <c r="K39" s="38"/>
      <c r="U39" s="61"/>
      <c r="V39" s="63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>
        <f>SUM(I39)</f>
        <v>625</v>
      </c>
      <c r="AO39" s="31"/>
      <c r="AP39" s="31"/>
      <c r="AQ39" s="31"/>
      <c r="AR39" s="31"/>
      <c r="AS39" s="31"/>
      <c r="BD39" s="62"/>
      <c r="BE39" s="61">
        <f t="shared" ref="BE39:BE54" si="7">SUM(U39:BD39)-C39</f>
        <v>0</v>
      </c>
    </row>
    <row r="40" spans="1:57" s="7" customFormat="1" ht="12.75" customHeight="1" x14ac:dyDescent="0.2">
      <c r="A40" s="8">
        <v>2</v>
      </c>
      <c r="B40" s="485" t="s">
        <v>279</v>
      </c>
      <c r="C40" s="242">
        <f>SUM('TS 2019_2020 Est Travel'!G18+'TS 2019_2020 Est Travel'!G26+'TS 2019_2020 Est Travel'!G29+'TS 2019_2020 Est Travel'!G33)</f>
        <v>2804.6800000000003</v>
      </c>
      <c r="D40" s="238">
        <f t="shared" si="6"/>
        <v>-2804.6800000000003</v>
      </c>
      <c r="E40" s="486" t="s">
        <v>406</v>
      </c>
      <c r="F40" s="240">
        <f t="shared" si="1"/>
        <v>94575.020000000019</v>
      </c>
      <c r="G40" s="77"/>
      <c r="H40" s="77"/>
      <c r="I40" s="78"/>
      <c r="J40" s="77"/>
      <c r="K40" s="38"/>
      <c r="U40" s="61"/>
      <c r="V40" s="63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>
        <f>SUM(C40)</f>
        <v>2804.6800000000003</v>
      </c>
      <c r="AU40" s="31"/>
      <c r="BD40" s="62"/>
      <c r="BE40" s="61">
        <f t="shared" si="7"/>
        <v>0</v>
      </c>
    </row>
    <row r="41" spans="1:57" s="7" customFormat="1" ht="12.75" customHeight="1" x14ac:dyDescent="0.2">
      <c r="A41" s="8">
        <v>2</v>
      </c>
      <c r="B41" s="244" t="s">
        <v>160</v>
      </c>
      <c r="C41" s="242">
        <v>1833.35</v>
      </c>
      <c r="D41" s="238">
        <f t="shared" si="6"/>
        <v>-1833.35</v>
      </c>
      <c r="E41" s="243">
        <v>43877</v>
      </c>
      <c r="F41" s="240">
        <f t="shared" si="1"/>
        <v>92741.670000000013</v>
      </c>
      <c r="G41" s="77"/>
      <c r="H41" s="77">
        <v>6590</v>
      </c>
      <c r="I41" s="78">
        <f>C41</f>
        <v>1833.35</v>
      </c>
      <c r="J41" s="77"/>
      <c r="K41" s="38"/>
      <c r="U41" s="61"/>
      <c r="V41" s="63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P41" s="31">
        <f>SUM(I41)</f>
        <v>1833.35</v>
      </c>
      <c r="AQ41" s="31"/>
      <c r="AR41" s="31"/>
      <c r="AS41" s="31"/>
      <c r="BD41" s="62"/>
      <c r="BE41" s="61">
        <f t="shared" si="7"/>
        <v>0</v>
      </c>
    </row>
    <row r="42" spans="1:57" s="7" customFormat="1" ht="12.75" customHeight="1" x14ac:dyDescent="0.2">
      <c r="A42" s="8">
        <v>2</v>
      </c>
      <c r="B42" s="241" t="s">
        <v>155</v>
      </c>
      <c r="C42" s="242">
        <f>SUM(C31)</f>
        <v>18100</v>
      </c>
      <c r="D42" s="238">
        <f t="shared" si="6"/>
        <v>-18100</v>
      </c>
      <c r="E42" s="243">
        <v>43881</v>
      </c>
      <c r="F42" s="240">
        <f t="shared" si="1"/>
        <v>74641.670000000013</v>
      </c>
      <c r="G42" s="77"/>
      <c r="H42" s="77">
        <v>8570</v>
      </c>
      <c r="I42" s="80">
        <v>1375</v>
      </c>
      <c r="J42" s="77" t="s">
        <v>207</v>
      </c>
      <c r="K42" s="38" t="s">
        <v>207</v>
      </c>
      <c r="L42" s="7">
        <v>8510</v>
      </c>
      <c r="M42" s="38">
        <v>13600</v>
      </c>
      <c r="N42" s="50">
        <v>8250</v>
      </c>
      <c r="O42" s="38">
        <v>1000</v>
      </c>
      <c r="P42" s="50">
        <v>8530</v>
      </c>
      <c r="Q42" s="123">
        <v>2000</v>
      </c>
      <c r="R42" s="50">
        <v>8590</v>
      </c>
      <c r="S42" s="38">
        <v>125</v>
      </c>
      <c r="T42" s="51">
        <f>SUM(I42+M42+O42+Q42+S42)</f>
        <v>18100</v>
      </c>
      <c r="U42" s="61"/>
      <c r="V42" s="63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>
        <f>SUM(I42)</f>
        <v>1375</v>
      </c>
      <c r="AH42" s="31">
        <f>SUM(M42)</f>
        <v>13600</v>
      </c>
      <c r="AI42" s="31">
        <f>SUM(O42)</f>
        <v>1000</v>
      </c>
      <c r="AJ42" s="31">
        <f>SUM(Q42)</f>
        <v>2000</v>
      </c>
      <c r="AK42" s="31">
        <f>SUM(S42)</f>
        <v>125</v>
      </c>
      <c r="AL42" s="31"/>
      <c r="AM42" s="31"/>
      <c r="AN42" s="31"/>
      <c r="AO42" s="31"/>
      <c r="AP42" s="31"/>
      <c r="AQ42" s="31"/>
      <c r="AR42" s="31"/>
      <c r="AS42" s="31"/>
      <c r="BD42" s="62"/>
      <c r="BE42" s="61">
        <f t="shared" si="7"/>
        <v>0</v>
      </c>
    </row>
    <row r="43" spans="1:57" s="7" customFormat="1" ht="12.75" customHeight="1" x14ac:dyDescent="0.2">
      <c r="A43" s="8">
        <v>2</v>
      </c>
      <c r="B43" s="241" t="s">
        <v>153</v>
      </c>
      <c r="C43" s="242">
        <v>100</v>
      </c>
      <c r="D43" s="238">
        <f t="shared" si="6"/>
        <v>-100</v>
      </c>
      <c r="E43" s="243">
        <v>43883</v>
      </c>
      <c r="F43" s="240">
        <f t="shared" si="1"/>
        <v>74541.670000000013</v>
      </c>
      <c r="G43" s="77"/>
      <c r="H43" s="77">
        <v>7850</v>
      </c>
      <c r="I43" s="78">
        <f>C43</f>
        <v>100</v>
      </c>
      <c r="J43" s="77"/>
      <c r="K43" s="38"/>
      <c r="U43" s="61">
        <f>SUM(I43)</f>
        <v>100</v>
      </c>
      <c r="V43" s="63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BD43" s="62"/>
      <c r="BE43" s="61">
        <f t="shared" si="7"/>
        <v>0</v>
      </c>
    </row>
    <row r="44" spans="1:57" s="7" customFormat="1" ht="12.75" customHeight="1" x14ac:dyDescent="0.2">
      <c r="A44" s="8">
        <v>2</v>
      </c>
      <c r="B44" s="244" t="s">
        <v>266</v>
      </c>
      <c r="C44" s="242">
        <f>SUM('CCD - Mnthly Bills'!C20)</f>
        <v>1523.3625000000002</v>
      </c>
      <c r="D44" s="238">
        <f t="shared" si="6"/>
        <v>-1523.3625000000002</v>
      </c>
      <c r="E44" s="243" t="s">
        <v>265</v>
      </c>
      <c r="F44" s="240">
        <f t="shared" si="1"/>
        <v>73018.30750000001</v>
      </c>
      <c r="G44" s="77"/>
      <c r="H44" s="570" t="s">
        <v>264</v>
      </c>
      <c r="I44" s="570"/>
      <c r="J44" s="77"/>
      <c r="K44" s="38"/>
      <c r="U44" s="61"/>
      <c r="V44" s="63"/>
      <c r="W44" s="31">
        <f>SUM('CCD - Mnthly Bills'!H20)</f>
        <v>104.73750000000001</v>
      </c>
      <c r="X44" s="31"/>
      <c r="Y44" s="31">
        <f>SUM('CCD - Mnthly Bills'!F20)</f>
        <v>778.6875</v>
      </c>
      <c r="Z44" s="31"/>
      <c r="AA44" s="31">
        <f>SUM('CCD - Mnthly Bills'!K20)</f>
        <v>375</v>
      </c>
      <c r="AB44" s="31"/>
      <c r="AC44" s="31"/>
      <c r="AD44" s="31">
        <f>SUM('CCD - Mnthly Bills'!J20)</f>
        <v>90</v>
      </c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>
        <f>SUM('CCD - Mnthly Bills'!G20)</f>
        <v>111.1875</v>
      </c>
      <c r="AR44" s="31">
        <f>SUM('CCD - Mnthly Bills'!I20)</f>
        <v>63.75</v>
      </c>
      <c r="AS44" s="31"/>
      <c r="BD44" s="62"/>
      <c r="BE44" s="61">
        <f t="shared" si="7"/>
        <v>0</v>
      </c>
    </row>
    <row r="45" spans="1:57" s="7" customFormat="1" ht="12.75" customHeight="1" x14ac:dyDescent="0.2">
      <c r="A45" s="8">
        <v>2</v>
      </c>
      <c r="B45" s="244" t="s">
        <v>288</v>
      </c>
      <c r="C45" s="242">
        <v>21000</v>
      </c>
      <c r="D45" s="238">
        <f>SUM(C45*-1)</f>
        <v>-21000</v>
      </c>
      <c r="E45" s="243" t="s">
        <v>289</v>
      </c>
      <c r="F45" s="240">
        <f t="shared" si="1"/>
        <v>52018.30750000001</v>
      </c>
      <c r="G45" s="77"/>
      <c r="H45" s="472"/>
      <c r="I45" s="472"/>
      <c r="J45" s="77"/>
      <c r="K45" s="38"/>
      <c r="U45" s="61"/>
      <c r="V45" s="63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>
        <f>20500-1075</f>
        <v>19425</v>
      </c>
      <c r="AU45" s="31"/>
      <c r="AV45" s="38">
        <v>500</v>
      </c>
      <c r="AW45" s="38"/>
      <c r="AX45" s="38"/>
      <c r="AY45" s="38"/>
      <c r="AZ45" s="38"/>
      <c r="BA45" s="38"/>
      <c r="BB45" s="38">
        <v>1075</v>
      </c>
      <c r="BC45" s="38"/>
      <c r="BD45" s="62"/>
      <c r="BE45" s="61">
        <f t="shared" si="7"/>
        <v>0</v>
      </c>
    </row>
    <row r="46" spans="1:57" ht="12.75" customHeight="1" x14ac:dyDescent="0.3">
      <c r="A46" s="8">
        <v>2</v>
      </c>
      <c r="B46" s="241" t="s">
        <v>150</v>
      </c>
      <c r="C46" s="242">
        <v>458.65</v>
      </c>
      <c r="D46" s="238">
        <f t="shared" si="6"/>
        <v>-458.65</v>
      </c>
      <c r="E46" s="243" t="s">
        <v>192</v>
      </c>
      <c r="F46" s="240">
        <f t="shared" si="1"/>
        <v>51559.657500000008</v>
      </c>
      <c r="G46" s="77"/>
      <c r="H46" s="77">
        <v>7910</v>
      </c>
      <c r="I46" s="78">
        <f t="shared" ref="I46:I54" si="8">C46</f>
        <v>458.65</v>
      </c>
      <c r="J46" s="77"/>
      <c r="K46" s="38"/>
      <c r="L46" s="7"/>
      <c r="U46" s="61"/>
      <c r="V46" s="63">
        <f>SUM(I46)</f>
        <v>458.65</v>
      </c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BE46" s="61">
        <f t="shared" si="7"/>
        <v>0</v>
      </c>
    </row>
    <row r="47" spans="1:57" ht="12.75" customHeight="1" x14ac:dyDescent="0.3">
      <c r="A47" s="8">
        <v>2</v>
      </c>
      <c r="B47" s="241" t="s">
        <v>191</v>
      </c>
      <c r="C47" s="242">
        <v>44.94</v>
      </c>
      <c r="D47" s="238">
        <f t="shared" si="6"/>
        <v>-44.94</v>
      </c>
      <c r="E47" s="243" t="s">
        <v>190</v>
      </c>
      <c r="F47" s="240">
        <f t="shared" si="1"/>
        <v>51514.717500000006</v>
      </c>
      <c r="G47" s="77"/>
      <c r="H47" s="77">
        <v>7950</v>
      </c>
      <c r="I47" s="78">
        <f t="shared" si="8"/>
        <v>44.94</v>
      </c>
      <c r="J47" s="77"/>
      <c r="K47" s="38"/>
      <c r="L47" s="7"/>
      <c r="U47" s="61"/>
      <c r="V47" s="63"/>
      <c r="W47" s="31">
        <f>SUM(I47)</f>
        <v>44.94</v>
      </c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BE47" s="61">
        <f t="shared" si="7"/>
        <v>0</v>
      </c>
    </row>
    <row r="48" spans="1:57" ht="12.75" customHeight="1" x14ac:dyDescent="0.3">
      <c r="A48" s="8">
        <v>2</v>
      </c>
      <c r="B48" s="241" t="s">
        <v>148</v>
      </c>
      <c r="C48" s="242">
        <v>386.23</v>
      </c>
      <c r="D48" s="238">
        <f t="shared" si="6"/>
        <v>-386.23</v>
      </c>
      <c r="E48" s="243" t="s">
        <v>189</v>
      </c>
      <c r="F48" s="240">
        <f t="shared" si="1"/>
        <v>51128.487500000003</v>
      </c>
      <c r="G48" s="77"/>
      <c r="H48" s="77">
        <v>7950</v>
      </c>
      <c r="I48" s="78">
        <f t="shared" si="8"/>
        <v>386.23</v>
      </c>
      <c r="J48" s="77"/>
      <c r="K48" s="38"/>
      <c r="L48" s="7"/>
      <c r="U48" s="61"/>
      <c r="V48" s="63"/>
      <c r="W48" s="31">
        <f>SUM(I48)</f>
        <v>386.23</v>
      </c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BE48" s="61">
        <f t="shared" si="7"/>
        <v>0</v>
      </c>
    </row>
    <row r="49" spans="1:57" ht="12.75" customHeight="1" x14ac:dyDescent="0.3">
      <c r="A49" s="8">
        <v>2</v>
      </c>
      <c r="B49" s="241" t="s">
        <v>146</v>
      </c>
      <c r="C49" s="242">
        <v>149.99</v>
      </c>
      <c r="D49" s="238">
        <f t="shared" si="6"/>
        <v>-149.99</v>
      </c>
      <c r="E49" s="243">
        <v>43889</v>
      </c>
      <c r="F49" s="240">
        <f t="shared" si="1"/>
        <v>50978.497500000005</v>
      </c>
      <c r="G49" s="77"/>
      <c r="H49" s="77">
        <v>7950</v>
      </c>
      <c r="I49" s="78">
        <f t="shared" si="8"/>
        <v>149.99</v>
      </c>
      <c r="J49" s="77"/>
      <c r="K49" s="38"/>
      <c r="L49" s="7"/>
      <c r="U49" s="61"/>
      <c r="V49" s="63"/>
      <c r="W49" s="31">
        <f>SUM(I49)</f>
        <v>149.99</v>
      </c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BE49" s="61">
        <f t="shared" si="7"/>
        <v>0</v>
      </c>
    </row>
    <row r="50" spans="1:57" ht="12.75" customHeight="1" x14ac:dyDescent="0.3">
      <c r="A50" s="8">
        <v>2</v>
      </c>
      <c r="B50" s="241" t="s">
        <v>142</v>
      </c>
      <c r="C50" s="242">
        <v>2500</v>
      </c>
      <c r="D50" s="238">
        <f t="shared" si="6"/>
        <v>-2500</v>
      </c>
      <c r="E50" s="243">
        <v>43890</v>
      </c>
      <c r="F50" s="240">
        <f t="shared" si="1"/>
        <v>48478.497500000005</v>
      </c>
      <c r="G50" s="77"/>
      <c r="H50" s="77">
        <v>7950</v>
      </c>
      <c r="I50" s="78">
        <f t="shared" si="8"/>
        <v>2500</v>
      </c>
      <c r="J50" s="77"/>
      <c r="K50" s="38"/>
      <c r="L50" s="7"/>
      <c r="U50" s="61"/>
      <c r="V50" s="63"/>
      <c r="X50" s="31"/>
      <c r="Y50" s="31"/>
      <c r="Z50" s="31">
        <f>SUM(I50)</f>
        <v>2500</v>
      </c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BE50" s="61">
        <f t="shared" si="7"/>
        <v>0</v>
      </c>
    </row>
    <row r="51" spans="1:57" ht="12.75" customHeight="1" x14ac:dyDescent="0.3">
      <c r="A51" s="8">
        <v>2</v>
      </c>
      <c r="B51" s="241" t="s">
        <v>141</v>
      </c>
      <c r="C51" s="242">
        <v>1080</v>
      </c>
      <c r="D51" s="238">
        <f t="shared" si="6"/>
        <v>-1080</v>
      </c>
      <c r="E51" s="243">
        <v>43890</v>
      </c>
      <c r="F51" s="240">
        <f t="shared" si="1"/>
        <v>47398.497500000005</v>
      </c>
      <c r="G51" s="77"/>
      <c r="H51" s="77">
        <v>5710</v>
      </c>
      <c r="I51" s="78">
        <f t="shared" si="8"/>
        <v>1080</v>
      </c>
      <c r="J51" s="77"/>
      <c r="K51" s="38"/>
      <c r="L51" s="7"/>
      <c r="U51" s="61"/>
      <c r="V51" s="63"/>
      <c r="W51" s="31"/>
      <c r="X51" s="31">
        <f>SUM(I51)</f>
        <v>1080</v>
      </c>
      <c r="Y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BE51" s="61">
        <f t="shared" si="7"/>
        <v>0</v>
      </c>
    </row>
    <row r="52" spans="1:57" ht="12.75" customHeight="1" x14ac:dyDescent="0.3">
      <c r="A52" s="8">
        <v>2</v>
      </c>
      <c r="B52" s="241" t="s">
        <v>144</v>
      </c>
      <c r="C52" s="242">
        <v>300</v>
      </c>
      <c r="D52" s="238">
        <f t="shared" si="6"/>
        <v>-300</v>
      </c>
      <c r="E52" s="243" t="s">
        <v>188</v>
      </c>
      <c r="F52" s="240">
        <f t="shared" si="1"/>
        <v>47098.497500000005</v>
      </c>
      <c r="G52" s="77"/>
      <c r="H52" s="77">
        <v>6730</v>
      </c>
      <c r="I52" s="78">
        <f t="shared" si="8"/>
        <v>300</v>
      </c>
      <c r="J52" s="77"/>
      <c r="K52" s="38"/>
      <c r="L52" s="7"/>
      <c r="U52" s="61"/>
      <c r="V52" s="63"/>
      <c r="W52" s="31">
        <f>SUM(I52)</f>
        <v>300</v>
      </c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BE52" s="61">
        <f t="shared" si="7"/>
        <v>0</v>
      </c>
    </row>
    <row r="53" spans="1:57" ht="12.75" customHeight="1" x14ac:dyDescent="0.3">
      <c r="A53" s="8">
        <v>2</v>
      </c>
      <c r="B53" s="244" t="s">
        <v>143</v>
      </c>
      <c r="C53" s="242">
        <v>75</v>
      </c>
      <c r="D53" s="238">
        <f t="shared" si="6"/>
        <v>-75</v>
      </c>
      <c r="E53" s="243" t="s">
        <v>188</v>
      </c>
      <c r="F53" s="240">
        <f t="shared" si="1"/>
        <v>47023.497500000005</v>
      </c>
      <c r="G53" s="77"/>
      <c r="H53" s="77">
        <v>7010</v>
      </c>
      <c r="I53" s="78">
        <f t="shared" si="8"/>
        <v>75</v>
      </c>
      <c r="J53" s="77"/>
      <c r="K53" s="38"/>
      <c r="L53" s="7"/>
      <c r="U53" s="61"/>
      <c r="V53" s="63"/>
      <c r="W53" s="31">
        <f>SUM(I53)</f>
        <v>75</v>
      </c>
      <c r="X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BE53" s="61">
        <f t="shared" si="7"/>
        <v>0</v>
      </c>
    </row>
    <row r="54" spans="1:57" ht="12.75" customHeight="1" thickBot="1" x14ac:dyDescent="0.35">
      <c r="A54" s="215">
        <v>2</v>
      </c>
      <c r="B54" s="250" t="s">
        <v>348</v>
      </c>
      <c r="C54" s="251">
        <v>5000</v>
      </c>
      <c r="D54" s="252">
        <f t="shared" si="6"/>
        <v>-5000</v>
      </c>
      <c r="E54" s="253" t="s">
        <v>374</v>
      </c>
      <c r="F54" s="254">
        <f t="shared" si="1"/>
        <v>42023.497500000005</v>
      </c>
      <c r="G54" s="77"/>
      <c r="H54" s="77">
        <v>5130</v>
      </c>
      <c r="I54" s="78">
        <f t="shared" si="8"/>
        <v>5000</v>
      </c>
      <c r="J54" s="77"/>
      <c r="K54" s="38"/>
      <c r="L54" s="7"/>
      <c r="U54" s="100"/>
      <c r="V54" s="99"/>
      <c r="W54" s="99"/>
      <c r="X54" s="99"/>
      <c r="Y54" s="99"/>
      <c r="Z54" s="99"/>
      <c r="AA54" s="99">
        <f>SUM(I54)</f>
        <v>5000</v>
      </c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100">
        <f t="shared" si="7"/>
        <v>0</v>
      </c>
    </row>
    <row r="55" spans="1:57" s="105" customFormat="1" ht="12.75" customHeight="1" x14ac:dyDescent="0.3">
      <c r="A55" s="42"/>
      <c r="B55" s="255"/>
      <c r="C55" s="256"/>
      <c r="D55" s="257"/>
      <c r="E55" s="258" t="s">
        <v>283</v>
      </c>
      <c r="F55" s="240">
        <f t="shared" si="1"/>
        <v>42023.497500000005</v>
      </c>
      <c r="G55" s="77"/>
      <c r="H55" s="77"/>
      <c r="I55" s="78"/>
      <c r="J55" s="77"/>
      <c r="K55" s="101"/>
      <c r="L55" s="102"/>
      <c r="M55" s="102"/>
      <c r="N55" s="102"/>
      <c r="O55" s="102"/>
      <c r="P55" s="102"/>
      <c r="Q55" s="102"/>
      <c r="R55" s="102"/>
      <c r="S55" s="102"/>
      <c r="T55" s="102"/>
      <c r="U55" s="109">
        <f t="shared" ref="U55:BD55" si="9">SUM(U18:U54)</f>
        <v>294.95</v>
      </c>
      <c r="V55" s="110">
        <f t="shared" si="9"/>
        <v>708.65</v>
      </c>
      <c r="W55" s="110">
        <f t="shared" si="9"/>
        <v>1060.8975</v>
      </c>
      <c r="X55" s="110">
        <f t="shared" si="9"/>
        <v>1080</v>
      </c>
      <c r="Y55" s="110">
        <f t="shared" si="9"/>
        <v>778.6875</v>
      </c>
      <c r="Z55" s="110">
        <f t="shared" si="9"/>
        <v>2500</v>
      </c>
      <c r="AA55" s="110">
        <f t="shared" si="9"/>
        <v>13375</v>
      </c>
      <c r="AB55" s="110">
        <f t="shared" si="9"/>
        <v>7500</v>
      </c>
      <c r="AC55" s="110">
        <f t="shared" si="9"/>
        <v>2350</v>
      </c>
      <c r="AD55" s="110">
        <f t="shared" si="9"/>
        <v>1674</v>
      </c>
      <c r="AE55" s="110">
        <f t="shared" si="9"/>
        <v>8333</v>
      </c>
      <c r="AF55" s="110">
        <f t="shared" si="9"/>
        <v>150</v>
      </c>
      <c r="AG55" s="110">
        <f t="shared" si="9"/>
        <v>2750</v>
      </c>
      <c r="AH55" s="110">
        <f t="shared" si="9"/>
        <v>27200</v>
      </c>
      <c r="AI55" s="110">
        <f t="shared" si="9"/>
        <v>2000</v>
      </c>
      <c r="AJ55" s="110">
        <f t="shared" si="9"/>
        <v>4000</v>
      </c>
      <c r="AK55" s="110">
        <f t="shared" si="9"/>
        <v>250</v>
      </c>
      <c r="AL55" s="110">
        <f t="shared" si="9"/>
        <v>1500</v>
      </c>
      <c r="AM55" s="110">
        <f t="shared" si="9"/>
        <v>200</v>
      </c>
      <c r="AN55" s="110">
        <f t="shared" si="9"/>
        <v>625</v>
      </c>
      <c r="AO55" s="110">
        <f t="shared" si="9"/>
        <v>0</v>
      </c>
      <c r="AP55" s="110">
        <f t="shared" si="9"/>
        <v>1833.35</v>
      </c>
      <c r="AQ55" s="110">
        <f t="shared" si="9"/>
        <v>111.1875</v>
      </c>
      <c r="AR55" s="110">
        <f t="shared" si="9"/>
        <v>63.75</v>
      </c>
      <c r="AS55" s="110">
        <f t="shared" si="9"/>
        <v>1200</v>
      </c>
      <c r="AT55" s="110">
        <f t="shared" si="9"/>
        <v>22229.68</v>
      </c>
      <c r="AU55" s="110">
        <f t="shared" si="9"/>
        <v>0</v>
      </c>
      <c r="AV55" s="110">
        <f t="shared" si="9"/>
        <v>3439.25</v>
      </c>
      <c r="AW55" s="110">
        <f t="shared" si="9"/>
        <v>800</v>
      </c>
      <c r="AX55" s="110">
        <f t="shared" si="9"/>
        <v>0</v>
      </c>
      <c r="AY55" s="110">
        <f t="shared" si="9"/>
        <v>200</v>
      </c>
      <c r="AZ55" s="110"/>
      <c r="BA55" s="110">
        <f t="shared" si="9"/>
        <v>1500</v>
      </c>
      <c r="BB55" s="110">
        <f t="shared" si="9"/>
        <v>1075</v>
      </c>
      <c r="BC55" s="110">
        <f t="shared" si="9"/>
        <v>5000</v>
      </c>
      <c r="BD55" s="110">
        <f t="shared" si="9"/>
        <v>1750</v>
      </c>
      <c r="BE55" s="103"/>
    </row>
    <row r="56" spans="1:57" s="105" customFormat="1" ht="12.75" customHeight="1" x14ac:dyDescent="0.3">
      <c r="A56" s="403">
        <v>3</v>
      </c>
      <c r="B56" s="398" t="s">
        <v>450</v>
      </c>
      <c r="C56" s="399">
        <f>SUM(C18)</f>
        <v>5000</v>
      </c>
      <c r="D56" s="400">
        <f t="shared" ref="D56" si="10">SUM(C56*-1)</f>
        <v>-5000</v>
      </c>
      <c r="E56" s="401" t="s">
        <v>390</v>
      </c>
      <c r="F56" s="402">
        <f t="shared" si="1"/>
        <v>37023.497500000005</v>
      </c>
      <c r="G56" s="77"/>
      <c r="H56" s="77"/>
      <c r="I56" s="78"/>
      <c r="J56" s="77"/>
      <c r="K56" s="101"/>
      <c r="L56" s="102"/>
      <c r="M56" s="102"/>
      <c r="N56" s="102"/>
      <c r="O56" s="102"/>
      <c r="P56" s="102"/>
      <c r="Q56" s="102"/>
      <c r="R56" s="102"/>
      <c r="S56" s="102"/>
      <c r="T56" s="102"/>
      <c r="U56" s="103"/>
      <c r="V56" s="10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102"/>
      <c r="AU56" s="102"/>
      <c r="AV56" s="102"/>
      <c r="AW56" s="102"/>
      <c r="AX56" s="102"/>
      <c r="AY56" s="102"/>
      <c r="AZ56" s="102"/>
      <c r="BA56" s="102"/>
      <c r="BB56" s="102"/>
      <c r="BC56" s="44">
        <f>SUM(C56)</f>
        <v>5000</v>
      </c>
      <c r="BD56" s="120"/>
      <c r="BE56" s="61">
        <f>SUM(U56:BD56)-C56</f>
        <v>0</v>
      </c>
    </row>
    <row r="57" spans="1:57" ht="12.75" customHeight="1" x14ac:dyDescent="0.3">
      <c r="A57" s="8">
        <v>3</v>
      </c>
      <c r="B57" s="241" t="s">
        <v>177</v>
      </c>
      <c r="C57" s="242">
        <v>2000</v>
      </c>
      <c r="D57" s="238">
        <f t="shared" si="6"/>
        <v>-2000</v>
      </c>
      <c r="E57" s="243">
        <v>43891</v>
      </c>
      <c r="F57" s="240">
        <f t="shared" si="1"/>
        <v>35023.497500000005</v>
      </c>
      <c r="G57" s="77"/>
      <c r="H57" s="77"/>
      <c r="I57" s="78"/>
      <c r="J57" s="77"/>
      <c r="K57" s="38"/>
      <c r="L57" s="7"/>
      <c r="U57" s="61"/>
      <c r="V57" s="63">
        <v>250</v>
      </c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BD57" s="63">
        <v>1750</v>
      </c>
      <c r="BE57" s="61">
        <f>SUM(U57:BD57)-C57</f>
        <v>0</v>
      </c>
    </row>
    <row r="58" spans="1:57" ht="12.75" customHeight="1" x14ac:dyDescent="0.3">
      <c r="A58" s="215">
        <v>3</v>
      </c>
      <c r="B58" s="479" t="s">
        <v>398</v>
      </c>
      <c r="C58" s="251">
        <v>2000</v>
      </c>
      <c r="D58" s="252">
        <f t="shared" si="6"/>
        <v>-2000</v>
      </c>
      <c r="E58" s="480" t="s">
        <v>397</v>
      </c>
      <c r="F58" s="254">
        <f t="shared" si="1"/>
        <v>33023.497500000005</v>
      </c>
      <c r="G58" s="77"/>
      <c r="H58" s="77"/>
      <c r="I58" s="78"/>
      <c r="J58" s="77"/>
      <c r="K58" s="38"/>
      <c r="L58" s="7"/>
      <c r="U58" s="61"/>
      <c r="V58" s="63"/>
      <c r="W58" s="31"/>
      <c r="X58" s="31"/>
      <c r="Y58" s="31"/>
      <c r="Z58" s="31"/>
      <c r="AA58" s="31">
        <f>SUM(C58)</f>
        <v>2000</v>
      </c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BD58" s="63"/>
      <c r="BE58" s="61">
        <f t="shared" ref="BE58:BE65" si="11">SUM(U58:BD58)-C58</f>
        <v>0</v>
      </c>
    </row>
    <row r="59" spans="1:57" ht="12.75" customHeight="1" x14ac:dyDescent="0.3">
      <c r="A59" s="215">
        <v>3</v>
      </c>
      <c r="B59" s="479" t="s">
        <v>401</v>
      </c>
      <c r="C59" s="251">
        <v>800</v>
      </c>
      <c r="D59" s="252">
        <f t="shared" si="6"/>
        <v>-800</v>
      </c>
      <c r="E59" s="480" t="s">
        <v>402</v>
      </c>
      <c r="F59" s="254">
        <f t="shared" si="1"/>
        <v>32223.497500000005</v>
      </c>
      <c r="G59" s="77"/>
      <c r="H59" s="77"/>
      <c r="I59" s="78"/>
      <c r="J59" s="77"/>
      <c r="K59" s="38"/>
      <c r="L59" s="7"/>
      <c r="U59" s="61"/>
      <c r="V59" s="63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W59" s="31">
        <f>SUM(C59)</f>
        <v>800</v>
      </c>
      <c r="BD59" s="63"/>
      <c r="BE59" s="61">
        <f t="shared" si="11"/>
        <v>0</v>
      </c>
    </row>
    <row r="60" spans="1:57" ht="12.75" customHeight="1" x14ac:dyDescent="0.3">
      <c r="A60" s="8">
        <v>3</v>
      </c>
      <c r="B60" s="241" t="s">
        <v>176</v>
      </c>
      <c r="C60" s="242">
        <v>7500</v>
      </c>
      <c r="D60" s="238">
        <f t="shared" si="6"/>
        <v>-7500</v>
      </c>
      <c r="E60" s="243">
        <v>43891</v>
      </c>
      <c r="F60" s="478">
        <f t="shared" si="1"/>
        <v>24723.497500000005</v>
      </c>
      <c r="G60" s="77"/>
      <c r="H60" s="77">
        <v>5510</v>
      </c>
      <c r="I60" s="78">
        <f>C60</f>
        <v>7500</v>
      </c>
      <c r="J60" s="77"/>
      <c r="K60" s="38"/>
      <c r="L60" s="7"/>
      <c r="U60" s="61"/>
      <c r="V60" s="63"/>
      <c r="W60" s="31"/>
      <c r="X60" s="31"/>
      <c r="Y60" s="31"/>
      <c r="Z60" s="31"/>
      <c r="AA60" s="31"/>
      <c r="AB60" s="31">
        <f>SUM(I60)</f>
        <v>7500</v>
      </c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BE60" s="61">
        <f t="shared" si="11"/>
        <v>0</v>
      </c>
    </row>
    <row r="61" spans="1:57" ht="12.75" customHeight="1" x14ac:dyDescent="0.3">
      <c r="A61" s="215">
        <v>3</v>
      </c>
      <c r="B61" s="479" t="s">
        <v>431</v>
      </c>
      <c r="C61" s="251">
        <v>600</v>
      </c>
      <c r="D61" s="252">
        <f t="shared" si="6"/>
        <v>-600</v>
      </c>
      <c r="E61" s="480" t="s">
        <v>412</v>
      </c>
      <c r="F61" s="254">
        <f t="shared" si="1"/>
        <v>24123.497500000005</v>
      </c>
      <c r="G61" s="77"/>
      <c r="H61" s="77"/>
      <c r="I61" s="78"/>
      <c r="J61" s="77"/>
      <c r="K61" s="38"/>
      <c r="L61" s="7"/>
      <c r="U61" s="61"/>
      <c r="V61" s="63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Y61" s="31">
        <f>SUM(C61)</f>
        <v>600</v>
      </c>
      <c r="AZ61" s="31"/>
      <c r="BA61" s="31"/>
      <c r="BE61" s="61">
        <f t="shared" si="11"/>
        <v>0</v>
      </c>
    </row>
    <row r="62" spans="1:57" ht="12.75" customHeight="1" x14ac:dyDescent="0.3">
      <c r="A62" s="8">
        <v>3</v>
      </c>
      <c r="B62" s="241" t="s">
        <v>392</v>
      </c>
      <c r="C62" s="242">
        <v>4500</v>
      </c>
      <c r="D62" s="238">
        <f t="shared" si="6"/>
        <v>-4500</v>
      </c>
      <c r="E62" s="243" t="s">
        <v>393</v>
      </c>
      <c r="F62" s="478">
        <f t="shared" si="1"/>
        <v>19623.497500000005</v>
      </c>
      <c r="G62" s="77"/>
      <c r="H62" s="77"/>
      <c r="I62" s="78"/>
      <c r="J62" s="77"/>
      <c r="K62" s="38"/>
      <c r="L62" s="7"/>
      <c r="U62" s="61"/>
      <c r="V62" s="63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X62" s="31">
        <f>SUM(C62)</f>
        <v>4500</v>
      </c>
      <c r="AY62" s="31"/>
      <c r="AZ62" s="31"/>
      <c r="BA62" s="31"/>
      <c r="BB62" s="31"/>
      <c r="BE62" s="61">
        <f t="shared" si="11"/>
        <v>0</v>
      </c>
    </row>
    <row r="63" spans="1:57" ht="12.75" customHeight="1" x14ac:dyDescent="0.3">
      <c r="A63" s="8">
        <v>3</v>
      </c>
      <c r="B63" s="241" t="s">
        <v>175</v>
      </c>
      <c r="C63" s="242">
        <v>550</v>
      </c>
      <c r="D63" s="238">
        <f t="shared" si="6"/>
        <v>-550</v>
      </c>
      <c r="E63" s="243">
        <v>43891</v>
      </c>
      <c r="F63" s="240">
        <f>SUM(F60+D63)</f>
        <v>24173.497500000005</v>
      </c>
      <c r="G63" s="77"/>
      <c r="H63" s="77">
        <v>7650</v>
      </c>
      <c r="I63" s="78">
        <f>C63</f>
        <v>550</v>
      </c>
      <c r="J63" s="77"/>
      <c r="K63" s="38"/>
      <c r="L63" s="7"/>
      <c r="U63" s="61"/>
      <c r="V63" s="63"/>
      <c r="W63" s="31"/>
      <c r="X63" s="31"/>
      <c r="Y63" s="31"/>
      <c r="Z63" s="31"/>
      <c r="AA63" s="31"/>
      <c r="AB63" s="31"/>
      <c r="AC63" s="31">
        <f>SUM(I63)</f>
        <v>550</v>
      </c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BE63" s="61">
        <f t="shared" si="11"/>
        <v>0</v>
      </c>
    </row>
    <row r="64" spans="1:57" ht="12.75" customHeight="1" x14ac:dyDescent="0.3">
      <c r="A64" s="8">
        <v>3</v>
      </c>
      <c r="B64" s="241" t="s">
        <v>174</v>
      </c>
      <c r="C64" s="242">
        <v>1800</v>
      </c>
      <c r="D64" s="238">
        <f t="shared" si="6"/>
        <v>-1800</v>
      </c>
      <c r="E64" s="243" t="s">
        <v>187</v>
      </c>
      <c r="F64" s="240">
        <f t="shared" si="1"/>
        <v>22373.497500000005</v>
      </c>
      <c r="G64" s="77"/>
      <c r="H64" s="77">
        <v>7650</v>
      </c>
      <c r="I64" s="78">
        <f>C64</f>
        <v>1800</v>
      </c>
      <c r="J64" s="77"/>
      <c r="K64" s="38"/>
      <c r="L64" s="7"/>
      <c r="U64" s="61"/>
      <c r="V64" s="63"/>
      <c r="W64" s="31"/>
      <c r="X64" s="31"/>
      <c r="Y64" s="31"/>
      <c r="Z64" s="31"/>
      <c r="AA64" s="31"/>
      <c r="AB64" s="31"/>
      <c r="AC64" s="31">
        <f>SUM(I64)</f>
        <v>1800</v>
      </c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BE64" s="61">
        <f t="shared" si="11"/>
        <v>0</v>
      </c>
    </row>
    <row r="65" spans="1:57" ht="12.75" customHeight="1" x14ac:dyDescent="0.3">
      <c r="A65" s="483">
        <v>3</v>
      </c>
      <c r="B65" s="339" t="s">
        <v>172</v>
      </c>
      <c r="C65" s="340">
        <v>9917</v>
      </c>
      <c r="D65" s="341">
        <f t="shared" si="6"/>
        <v>-9917</v>
      </c>
      <c r="E65" s="484" t="s">
        <v>420</v>
      </c>
      <c r="F65" s="343">
        <f t="shared" si="1"/>
        <v>12456.497500000005</v>
      </c>
      <c r="G65" s="77"/>
      <c r="H65" s="77">
        <v>5750</v>
      </c>
      <c r="I65" s="80">
        <v>1584</v>
      </c>
      <c r="J65" s="77">
        <v>5520</v>
      </c>
      <c r="K65" s="38">
        <v>8333</v>
      </c>
      <c r="L65" s="7"/>
      <c r="U65" s="61"/>
      <c r="V65" s="63"/>
      <c r="W65" s="31"/>
      <c r="X65" s="31"/>
      <c r="Y65" s="31"/>
      <c r="Z65" s="31"/>
      <c r="AA65" s="31"/>
      <c r="AB65" s="31"/>
      <c r="AC65" s="31"/>
      <c r="AD65" s="31">
        <f>SUM(I65)</f>
        <v>1584</v>
      </c>
      <c r="AE65" s="31">
        <f>SUM(K65)</f>
        <v>8333</v>
      </c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BE65" s="61">
        <f t="shared" si="11"/>
        <v>0</v>
      </c>
    </row>
    <row r="66" spans="1:57" ht="12.75" customHeight="1" x14ac:dyDescent="0.3">
      <c r="A66" s="8">
        <v>3</v>
      </c>
      <c r="B66" s="241" t="s">
        <v>171</v>
      </c>
      <c r="C66" s="242">
        <v>34.950000000000003</v>
      </c>
      <c r="D66" s="238">
        <f t="shared" si="6"/>
        <v>-34.950000000000003</v>
      </c>
      <c r="E66" s="243">
        <v>43891</v>
      </c>
      <c r="F66" s="240">
        <f t="shared" si="1"/>
        <v>12421.547500000004</v>
      </c>
      <c r="G66" s="77"/>
      <c r="H66" s="77">
        <v>7850</v>
      </c>
      <c r="I66" s="78">
        <f>C66</f>
        <v>34.950000000000003</v>
      </c>
      <c r="J66" s="77"/>
      <c r="K66" s="38"/>
      <c r="L66" s="7"/>
      <c r="U66" s="61">
        <f>SUM(I66)</f>
        <v>34.950000000000003</v>
      </c>
      <c r="V66" s="63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BE66" s="61">
        <f t="shared" ref="BE66:BE75" si="12">SUM(U66:BD66)-C66</f>
        <v>0</v>
      </c>
    </row>
    <row r="67" spans="1:57" ht="12.75" customHeight="1" x14ac:dyDescent="0.3">
      <c r="A67" s="8">
        <v>3</v>
      </c>
      <c r="B67" s="241" t="s">
        <v>169</v>
      </c>
      <c r="C67" s="242">
        <v>150</v>
      </c>
      <c r="D67" s="238">
        <f t="shared" si="6"/>
        <v>-150</v>
      </c>
      <c r="E67" s="243" t="s">
        <v>186</v>
      </c>
      <c r="F67" s="240">
        <f t="shared" si="1"/>
        <v>12271.547500000004</v>
      </c>
      <c r="G67" s="77"/>
      <c r="H67" s="77">
        <v>7090</v>
      </c>
      <c r="I67" s="78">
        <f>C67</f>
        <v>150</v>
      </c>
      <c r="J67" s="77"/>
      <c r="K67" s="38"/>
      <c r="L67" s="7"/>
      <c r="U67" s="61"/>
      <c r="V67" s="63"/>
      <c r="W67" s="31"/>
      <c r="X67" s="31"/>
      <c r="Y67" s="31"/>
      <c r="Z67" s="31"/>
      <c r="AA67" s="31"/>
      <c r="AB67" s="31"/>
      <c r="AC67" s="31"/>
      <c r="AD67" s="31"/>
      <c r="AE67" s="31"/>
      <c r="AF67" s="31">
        <f>SUM(I67)</f>
        <v>150</v>
      </c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BE67" s="61">
        <f t="shared" si="12"/>
        <v>0</v>
      </c>
    </row>
    <row r="68" spans="1:57" ht="12.75" customHeight="1" x14ac:dyDescent="0.3">
      <c r="A68" s="129">
        <v>3</v>
      </c>
      <c r="B68" s="260" t="s">
        <v>155</v>
      </c>
      <c r="C68" s="261">
        <f>SUM(T68)</f>
        <v>13385</v>
      </c>
      <c r="D68" s="262">
        <f t="shared" si="6"/>
        <v>-13385</v>
      </c>
      <c r="E68" s="263">
        <v>43895</v>
      </c>
      <c r="F68" s="264">
        <f t="shared" si="1"/>
        <v>-1113.4524999999958</v>
      </c>
      <c r="G68" s="77"/>
      <c r="H68" s="77">
        <v>8570</v>
      </c>
      <c r="I68" s="80">
        <v>1010</v>
      </c>
      <c r="J68" s="77" t="s">
        <v>207</v>
      </c>
      <c r="K68" s="38" t="s">
        <v>207</v>
      </c>
      <c r="L68" s="7">
        <v>8510</v>
      </c>
      <c r="M68" s="38">
        <v>10000</v>
      </c>
      <c r="N68" s="50">
        <v>8520</v>
      </c>
      <c r="O68" s="38">
        <v>750</v>
      </c>
      <c r="P68" s="50">
        <v>8530</v>
      </c>
      <c r="Q68" s="123">
        <v>1500</v>
      </c>
      <c r="R68" s="50">
        <v>8590</v>
      </c>
      <c r="S68" s="38">
        <v>125</v>
      </c>
      <c r="T68" s="51">
        <f>SUM(I68+M68+O68+Q68+S68)</f>
        <v>13385</v>
      </c>
      <c r="U68" s="61"/>
      <c r="V68" s="63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>
        <f>SUM(I68)</f>
        <v>1010</v>
      </c>
      <c r="AH68" s="31">
        <f>SUM(M68)</f>
        <v>10000</v>
      </c>
      <c r="AI68" s="31">
        <f>SUM(O68)</f>
        <v>750</v>
      </c>
      <c r="AJ68" s="31">
        <f>SUM(Q68)</f>
        <v>1500</v>
      </c>
      <c r="AK68" s="31">
        <f>SUM(S68)</f>
        <v>125</v>
      </c>
      <c r="AL68" s="31"/>
      <c r="AM68" s="31"/>
      <c r="AN68" s="31"/>
      <c r="AO68" s="31"/>
      <c r="AP68" s="31"/>
      <c r="AQ68" s="31"/>
      <c r="AR68" s="31"/>
      <c r="AS68" s="31"/>
      <c r="BE68" s="61">
        <f t="shared" si="12"/>
        <v>0</v>
      </c>
    </row>
    <row r="69" spans="1:57" ht="12.75" customHeight="1" x14ac:dyDescent="0.3">
      <c r="A69" s="8">
        <v>3</v>
      </c>
      <c r="B69" s="241" t="s">
        <v>153</v>
      </c>
      <c r="C69" s="242">
        <v>100</v>
      </c>
      <c r="D69" s="238">
        <f t="shared" si="6"/>
        <v>-100</v>
      </c>
      <c r="E69" s="243">
        <v>43897</v>
      </c>
      <c r="F69" s="240">
        <f t="shared" si="1"/>
        <v>-1213.4524999999958</v>
      </c>
      <c r="G69" s="77"/>
      <c r="H69" s="77">
        <v>7850</v>
      </c>
      <c r="I69" s="78">
        <f>C69</f>
        <v>100</v>
      </c>
      <c r="J69" s="77"/>
      <c r="K69" s="38"/>
      <c r="L69" s="7"/>
      <c r="U69" s="61">
        <f>SUM(I69)</f>
        <v>100</v>
      </c>
      <c r="V69" s="63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BE69" s="61">
        <f t="shared" si="12"/>
        <v>0</v>
      </c>
    </row>
    <row r="70" spans="1:57" ht="12.75" customHeight="1" x14ac:dyDescent="0.3">
      <c r="A70" s="135">
        <v>3</v>
      </c>
      <c r="B70" s="265" t="s">
        <v>157</v>
      </c>
      <c r="C70" s="266"/>
      <c r="D70" s="267">
        <v>40630.800000000003</v>
      </c>
      <c r="E70" s="268" t="s">
        <v>158</v>
      </c>
      <c r="F70" s="269">
        <f t="shared" si="1"/>
        <v>39417.347500000003</v>
      </c>
      <c r="G70" s="82"/>
      <c r="H70" s="77" t="s">
        <v>207</v>
      </c>
      <c r="I70" s="78">
        <f>SUM(I68*M70)</f>
        <v>0</v>
      </c>
      <c r="J70" s="77"/>
      <c r="K70" s="38"/>
      <c r="L70" s="7"/>
      <c r="U70" s="61"/>
      <c r="V70" s="63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BE70" s="61">
        <f t="shared" si="12"/>
        <v>0</v>
      </c>
    </row>
    <row r="71" spans="1:57" ht="12.75" customHeight="1" x14ac:dyDescent="0.3">
      <c r="A71" s="135">
        <v>3</v>
      </c>
      <c r="B71" s="265" t="s">
        <v>157</v>
      </c>
      <c r="C71" s="266"/>
      <c r="D71" s="141">
        <v>262637.08</v>
      </c>
      <c r="E71" s="268" t="s">
        <v>156</v>
      </c>
      <c r="F71" s="269">
        <f t="shared" si="1"/>
        <v>302054.42749999999</v>
      </c>
      <c r="G71" s="77"/>
      <c r="H71" s="77" t="s">
        <v>207</v>
      </c>
      <c r="I71" s="77" t="s">
        <v>207</v>
      </c>
      <c r="J71" s="77"/>
      <c r="K71" s="38"/>
      <c r="L71" s="7"/>
      <c r="U71" s="61"/>
      <c r="V71" s="63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BE71" s="61">
        <f t="shared" si="12"/>
        <v>0</v>
      </c>
    </row>
    <row r="72" spans="1:57" ht="12.75" customHeight="1" x14ac:dyDescent="0.3">
      <c r="A72" s="8">
        <v>3</v>
      </c>
      <c r="B72" s="241" t="s">
        <v>165</v>
      </c>
      <c r="C72" s="242">
        <v>200</v>
      </c>
      <c r="D72" s="238">
        <f>SUM(C72*-1)</f>
        <v>-200</v>
      </c>
      <c r="E72" s="243">
        <v>43905</v>
      </c>
      <c r="F72" s="240">
        <f t="shared" si="1"/>
        <v>301854.42749999999</v>
      </c>
      <c r="G72" s="82"/>
      <c r="H72" s="77">
        <v>6770</v>
      </c>
      <c r="I72" s="78">
        <f>C72</f>
        <v>200</v>
      </c>
      <c r="J72" s="77"/>
      <c r="K72" s="38"/>
      <c r="L72" s="7"/>
      <c r="U72" s="61"/>
      <c r="V72" s="63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>
        <f>SUM(I72)</f>
        <v>200</v>
      </c>
      <c r="AN72" s="31"/>
      <c r="AO72" s="31"/>
      <c r="AP72" s="31"/>
      <c r="AQ72" s="31"/>
      <c r="AR72" s="31"/>
      <c r="AS72" s="31"/>
      <c r="BE72" s="61">
        <f t="shared" si="12"/>
        <v>0</v>
      </c>
    </row>
    <row r="73" spans="1:57" ht="12.75" customHeight="1" x14ac:dyDescent="0.3">
      <c r="A73" s="8">
        <v>3</v>
      </c>
      <c r="B73" s="244" t="s">
        <v>164</v>
      </c>
      <c r="C73" s="242">
        <v>625</v>
      </c>
      <c r="D73" s="238">
        <f>SUM(C73*-1)</f>
        <v>-625</v>
      </c>
      <c r="E73" s="243" t="s">
        <v>185</v>
      </c>
      <c r="F73" s="240">
        <f t="shared" ref="F73:F77" si="13">SUM(F72+D73)</f>
        <v>301229.42749999999</v>
      </c>
      <c r="G73" s="82"/>
      <c r="H73" s="77">
        <v>5540</v>
      </c>
      <c r="I73" s="78">
        <f>C73</f>
        <v>625</v>
      </c>
      <c r="J73" s="77"/>
      <c r="K73" s="38"/>
      <c r="L73" s="7"/>
      <c r="U73" s="61"/>
      <c r="V73" s="63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>
        <f>SUM(I73)</f>
        <v>625</v>
      </c>
      <c r="AO73" s="31"/>
      <c r="AP73" s="31"/>
      <c r="AQ73" s="31"/>
      <c r="AR73" s="31"/>
      <c r="AS73" s="31"/>
      <c r="BE73" s="61">
        <f t="shared" si="12"/>
        <v>0</v>
      </c>
    </row>
    <row r="74" spans="1:57" ht="12.75" customHeight="1" x14ac:dyDescent="0.3">
      <c r="A74" s="8">
        <v>3</v>
      </c>
      <c r="B74" s="241" t="s">
        <v>162</v>
      </c>
      <c r="C74" s="242">
        <v>60</v>
      </c>
      <c r="D74" s="238">
        <f>SUM(C74*-1)</f>
        <v>-60</v>
      </c>
      <c r="E74" s="243">
        <v>43905</v>
      </c>
      <c r="F74" s="240">
        <f t="shared" si="13"/>
        <v>301169.42749999999</v>
      </c>
      <c r="G74" s="82"/>
      <c r="H74" s="77">
        <v>7850</v>
      </c>
      <c r="I74" s="78">
        <f>C74</f>
        <v>60</v>
      </c>
      <c r="J74" s="77"/>
      <c r="K74" s="38"/>
      <c r="L74" s="7"/>
      <c r="U74" s="61">
        <f>SUM(I74)</f>
        <v>60</v>
      </c>
      <c r="V74" s="63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BE74" s="61">
        <f t="shared" si="12"/>
        <v>0</v>
      </c>
    </row>
    <row r="75" spans="1:57" ht="12.75" customHeight="1" x14ac:dyDescent="0.3">
      <c r="A75" s="8">
        <v>3</v>
      </c>
      <c r="B75" s="244" t="s">
        <v>160</v>
      </c>
      <c r="C75" s="237">
        <v>1833.35</v>
      </c>
      <c r="D75" s="238">
        <f>SUM(C75*-1)</f>
        <v>-1833.35</v>
      </c>
      <c r="E75" s="243">
        <v>43906</v>
      </c>
      <c r="F75" s="240">
        <f t="shared" si="13"/>
        <v>299336.07750000001</v>
      </c>
      <c r="G75" s="82"/>
      <c r="H75" s="77">
        <v>6590</v>
      </c>
      <c r="I75" s="78">
        <f>C75</f>
        <v>1833.35</v>
      </c>
      <c r="J75" s="77"/>
      <c r="K75" s="38"/>
      <c r="L75" s="7"/>
      <c r="U75" s="61"/>
      <c r="V75" s="63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P75" s="31">
        <f>SUM(I75)</f>
        <v>1833.35</v>
      </c>
      <c r="AQ75" s="31"/>
      <c r="AR75" s="31"/>
      <c r="AS75" s="31"/>
      <c r="BE75" s="61">
        <f t="shared" si="12"/>
        <v>0</v>
      </c>
    </row>
    <row r="76" spans="1:57" ht="12.75" customHeight="1" x14ac:dyDescent="0.3">
      <c r="A76" s="42">
        <v>3</v>
      </c>
      <c r="B76" s="255" t="s">
        <v>155</v>
      </c>
      <c r="C76" s="256">
        <v>13385</v>
      </c>
      <c r="D76" s="257">
        <v>-13385</v>
      </c>
      <c r="E76" s="259">
        <v>43895</v>
      </c>
      <c r="F76" s="240">
        <f t="shared" si="13"/>
        <v>285951.07750000001</v>
      </c>
      <c r="G76" s="82"/>
      <c r="H76" s="77">
        <v>8570</v>
      </c>
      <c r="I76" s="80">
        <v>1010</v>
      </c>
      <c r="J76" s="77" t="s">
        <v>207</v>
      </c>
      <c r="K76" s="38" t="s">
        <v>207</v>
      </c>
      <c r="L76" s="7">
        <v>8510</v>
      </c>
      <c r="M76" s="38">
        <v>10000</v>
      </c>
      <c r="N76" s="50">
        <v>8520</v>
      </c>
      <c r="O76" s="38">
        <v>750</v>
      </c>
      <c r="P76" s="50">
        <v>8530</v>
      </c>
      <c r="Q76" s="123">
        <v>1500</v>
      </c>
      <c r="R76" s="50">
        <v>8590</v>
      </c>
      <c r="S76" s="38">
        <v>125</v>
      </c>
      <c r="T76" s="51">
        <v>13385</v>
      </c>
      <c r="U76" s="61"/>
      <c r="V76" s="63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>
        <v>1010</v>
      </c>
      <c r="AH76" s="31">
        <v>10000</v>
      </c>
      <c r="AI76" s="31">
        <v>750</v>
      </c>
      <c r="AJ76" s="31">
        <v>1500</v>
      </c>
      <c r="AK76" s="31">
        <v>125</v>
      </c>
      <c r="AL76" s="31"/>
      <c r="AM76" s="31"/>
      <c r="AN76" s="31"/>
      <c r="AO76" s="31"/>
      <c r="AP76" s="31"/>
      <c r="AQ76" s="31"/>
      <c r="AR76" s="31"/>
      <c r="AS76" s="31"/>
      <c r="BE76" s="61">
        <f t="shared" ref="BE76:BE90" si="14">SUM(U76:BD76)-C76</f>
        <v>0</v>
      </c>
    </row>
    <row r="77" spans="1:57" ht="12.75" customHeight="1" x14ac:dyDescent="0.3">
      <c r="A77" s="142">
        <v>3</v>
      </c>
      <c r="B77" s="270" t="s">
        <v>360</v>
      </c>
      <c r="C77" s="271"/>
      <c r="D77" s="247">
        <v>-58000</v>
      </c>
      <c r="E77" s="493" t="s">
        <v>440</v>
      </c>
      <c r="F77" s="249">
        <f t="shared" si="13"/>
        <v>227951.07750000001</v>
      </c>
      <c r="G77" s="82"/>
      <c r="H77" s="77" t="s">
        <v>207</v>
      </c>
      <c r="I77" s="77" t="s">
        <v>207</v>
      </c>
      <c r="J77" s="77"/>
      <c r="K77" s="38"/>
      <c r="L77" s="7"/>
      <c r="U77" s="61"/>
      <c r="V77" s="63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BE77" s="61">
        <f t="shared" si="14"/>
        <v>0</v>
      </c>
    </row>
    <row r="78" spans="1:57" ht="12.75" customHeight="1" x14ac:dyDescent="0.3">
      <c r="A78" s="8">
        <v>3</v>
      </c>
      <c r="B78" s="241" t="s">
        <v>153</v>
      </c>
      <c r="C78" s="242">
        <v>100</v>
      </c>
      <c r="D78" s="238">
        <f t="shared" ref="D78:D119" si="15">SUM(C78*-1)</f>
        <v>-100</v>
      </c>
      <c r="E78" s="243">
        <v>43911</v>
      </c>
      <c r="F78" s="240">
        <f t="shared" ref="F78:F150" si="16">SUM(F77+D78)</f>
        <v>227851.07750000001</v>
      </c>
      <c r="G78" s="77"/>
      <c r="H78" s="77">
        <v>7850</v>
      </c>
      <c r="I78" s="78">
        <f>C78</f>
        <v>100</v>
      </c>
      <c r="J78" s="77"/>
      <c r="K78" s="38"/>
      <c r="L78" s="33"/>
      <c r="M78" s="8"/>
      <c r="U78" s="61">
        <f>SUM(I78)</f>
        <v>100</v>
      </c>
      <c r="V78" s="63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BE78" s="61">
        <f t="shared" si="14"/>
        <v>0</v>
      </c>
    </row>
    <row r="79" spans="1:57" s="488" customFormat="1" ht="12.75" customHeight="1" x14ac:dyDescent="0.3">
      <c r="A79" s="215">
        <v>3</v>
      </c>
      <c r="B79" s="479" t="s">
        <v>441</v>
      </c>
      <c r="C79" s="490">
        <f>1200+600</f>
        <v>1800</v>
      </c>
      <c r="D79" s="252">
        <f t="shared" si="15"/>
        <v>-1800</v>
      </c>
      <c r="E79" s="480" t="s">
        <v>442</v>
      </c>
      <c r="F79" s="254">
        <f t="shared" si="16"/>
        <v>226051.07750000001</v>
      </c>
      <c r="G79" s="77"/>
      <c r="H79" s="77"/>
      <c r="I79" s="78"/>
      <c r="J79" s="77"/>
      <c r="K79" s="38"/>
      <c r="L79" s="33"/>
      <c r="M79" s="8"/>
      <c r="N79" s="7"/>
      <c r="O79" s="7"/>
      <c r="P79" s="7"/>
      <c r="Q79" s="7"/>
      <c r="R79" s="7"/>
      <c r="S79" s="7"/>
      <c r="T79" s="7"/>
      <c r="U79" s="61"/>
      <c r="V79" s="63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7"/>
      <c r="AU79" s="7"/>
      <c r="AV79" s="7"/>
      <c r="AW79" s="7"/>
      <c r="AX79" s="7"/>
      <c r="AY79" s="7"/>
      <c r="AZ79" s="31">
        <f>SUM(C79)</f>
        <v>1800</v>
      </c>
      <c r="BA79" s="7"/>
      <c r="BB79" s="7"/>
      <c r="BC79" s="7"/>
      <c r="BD79" s="62"/>
      <c r="BE79" s="61">
        <f t="shared" si="14"/>
        <v>0</v>
      </c>
    </row>
    <row r="80" spans="1:57" ht="12.75" customHeight="1" x14ac:dyDescent="0.3">
      <c r="A80" s="215">
        <v>3</v>
      </c>
      <c r="B80" s="479" t="s">
        <v>432</v>
      </c>
      <c r="C80" s="251">
        <f>3050+1650+600</f>
        <v>5300</v>
      </c>
      <c r="D80" s="252">
        <f t="shared" si="15"/>
        <v>-5300</v>
      </c>
      <c r="E80" s="480" t="s">
        <v>435</v>
      </c>
      <c r="F80" s="254">
        <f t="shared" si="16"/>
        <v>220751.07750000001</v>
      </c>
      <c r="G80" s="77"/>
      <c r="H80" s="77"/>
      <c r="I80" s="78"/>
      <c r="J80" s="77"/>
      <c r="K80" s="38"/>
      <c r="L80" s="33"/>
      <c r="M80" s="8"/>
      <c r="U80" s="61"/>
      <c r="V80" s="63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>
        <f>SUM(C80)-3050</f>
        <v>2250</v>
      </c>
      <c r="AU80" s="31">
        <v>3050</v>
      </c>
      <c r="BE80" s="61">
        <f t="shared" si="14"/>
        <v>0</v>
      </c>
    </row>
    <row r="81" spans="1:57" ht="12.75" customHeight="1" x14ac:dyDescent="0.3">
      <c r="A81" s="215">
        <v>3</v>
      </c>
      <c r="B81" s="479" t="s">
        <v>432</v>
      </c>
      <c r="C81" s="251">
        <v>1300</v>
      </c>
      <c r="D81" s="252">
        <f t="shared" ref="D81:D82" si="17">SUM(C81*-1)</f>
        <v>-1300</v>
      </c>
      <c r="E81" s="480" t="s">
        <v>408</v>
      </c>
      <c r="F81" s="254">
        <f t="shared" si="16"/>
        <v>219451.07750000001</v>
      </c>
      <c r="G81" s="77"/>
      <c r="H81" s="77"/>
      <c r="I81" s="78"/>
      <c r="J81" s="77"/>
      <c r="K81" s="38"/>
      <c r="L81" s="33"/>
      <c r="M81" s="8"/>
      <c r="U81" s="61"/>
      <c r="V81" s="63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BB81" s="31">
        <f>SUM(C81)</f>
        <v>1300</v>
      </c>
      <c r="BE81" s="61">
        <f t="shared" si="14"/>
        <v>0</v>
      </c>
    </row>
    <row r="82" spans="1:57" ht="12.75" customHeight="1" x14ac:dyDescent="0.3">
      <c r="A82" s="215">
        <v>3</v>
      </c>
      <c r="B82" s="479" t="s">
        <v>433</v>
      </c>
      <c r="C82" s="251">
        <v>1075</v>
      </c>
      <c r="D82" s="252">
        <f t="shared" si="17"/>
        <v>-1075</v>
      </c>
      <c r="E82" s="480" t="s">
        <v>409</v>
      </c>
      <c r="F82" s="254">
        <f t="shared" si="16"/>
        <v>218376.07750000001</v>
      </c>
      <c r="G82" s="77"/>
      <c r="H82" s="77"/>
      <c r="I82" s="78"/>
      <c r="J82" s="77"/>
      <c r="K82" s="38"/>
      <c r="L82" s="33"/>
      <c r="M82" s="8"/>
      <c r="U82" s="61"/>
      <c r="V82" s="63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BB82" s="31">
        <f>SUM(C82)</f>
        <v>1075</v>
      </c>
      <c r="BE82" s="61">
        <f t="shared" si="14"/>
        <v>0</v>
      </c>
    </row>
    <row r="83" spans="1:57" ht="12.75" customHeight="1" x14ac:dyDescent="0.3">
      <c r="A83" s="8">
        <v>3</v>
      </c>
      <c r="B83" s="244" t="s">
        <v>266</v>
      </c>
      <c r="C83" s="242">
        <f>SUM('CCD - Mnthly Bills'!C20)</f>
        <v>1523.3625000000002</v>
      </c>
      <c r="D83" s="238">
        <f t="shared" si="15"/>
        <v>-1523.3625000000002</v>
      </c>
      <c r="E83" s="243" t="s">
        <v>267</v>
      </c>
      <c r="F83" s="240">
        <f t="shared" si="16"/>
        <v>216852.71500000003</v>
      </c>
      <c r="G83" s="77"/>
      <c r="H83" s="570" t="s">
        <v>264</v>
      </c>
      <c r="I83" s="570"/>
      <c r="J83" s="77"/>
      <c r="K83" s="38"/>
      <c r="L83" s="7"/>
      <c r="U83" s="61"/>
      <c r="V83" s="63"/>
      <c r="W83" s="31">
        <f>SUM(W44)</f>
        <v>104.73750000000001</v>
      </c>
      <c r="X83" s="31"/>
      <c r="Y83" s="31">
        <f>SUM(Y44)</f>
        <v>778.6875</v>
      </c>
      <c r="Z83" s="31"/>
      <c r="AA83" s="31">
        <f>SUM(AA44)</f>
        <v>375</v>
      </c>
      <c r="AB83" s="31"/>
      <c r="AC83" s="31"/>
      <c r="AD83" s="31">
        <f>SUM(AD44)</f>
        <v>90</v>
      </c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>
        <f>SUM(AQ44)</f>
        <v>111.1875</v>
      </c>
      <c r="AR83" s="31">
        <f>SUM(AR44)</f>
        <v>63.75</v>
      </c>
      <c r="AS83" s="31"/>
      <c r="BE83" s="61">
        <f t="shared" si="14"/>
        <v>0</v>
      </c>
    </row>
    <row r="84" spans="1:57" ht="12.75" customHeight="1" x14ac:dyDescent="0.3">
      <c r="A84" s="8">
        <v>3</v>
      </c>
      <c r="B84" s="241" t="s">
        <v>150</v>
      </c>
      <c r="C84" s="242">
        <v>458.65</v>
      </c>
      <c r="D84" s="238">
        <f t="shared" si="15"/>
        <v>-458.65</v>
      </c>
      <c r="E84" s="243" t="s">
        <v>183</v>
      </c>
      <c r="F84" s="240">
        <f t="shared" si="16"/>
        <v>216394.06500000003</v>
      </c>
      <c r="G84" s="77"/>
      <c r="H84" s="77">
        <v>7910</v>
      </c>
      <c r="I84" s="78">
        <f t="shared" ref="I84:I93" si="18">C84</f>
        <v>458.65</v>
      </c>
      <c r="J84" s="77"/>
      <c r="K84" s="38"/>
      <c r="L84" s="7"/>
      <c r="U84" s="61"/>
      <c r="V84" s="63">
        <f>SUM(I84)</f>
        <v>458.65</v>
      </c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BE84" s="61">
        <f t="shared" si="14"/>
        <v>0</v>
      </c>
    </row>
    <row r="85" spans="1:57" ht="12.75" customHeight="1" x14ac:dyDescent="0.3">
      <c r="A85" s="215">
        <v>3</v>
      </c>
      <c r="B85" s="479" t="s">
        <v>279</v>
      </c>
      <c r="C85" s="490">
        <f>800+437.8+437.8+72</f>
        <v>1747.6</v>
      </c>
      <c r="D85" s="252">
        <f t="shared" si="15"/>
        <v>-1747.6</v>
      </c>
      <c r="E85" s="480" t="s">
        <v>438</v>
      </c>
      <c r="F85" s="254">
        <f t="shared" si="16"/>
        <v>214646.46500000003</v>
      </c>
      <c r="G85" s="77"/>
      <c r="H85" s="77"/>
      <c r="I85" s="78"/>
      <c r="J85" s="77"/>
      <c r="K85" s="38"/>
      <c r="L85" s="7"/>
      <c r="U85" s="61"/>
      <c r="V85" s="63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V85" s="31">
        <f>SUM(C85)</f>
        <v>1747.6</v>
      </c>
      <c r="AW85" s="31"/>
      <c r="AX85" s="31"/>
      <c r="AY85" s="31"/>
      <c r="AZ85" s="31"/>
      <c r="BA85" s="31"/>
      <c r="BB85" s="31"/>
      <c r="BC85" s="31"/>
      <c r="BE85" s="61">
        <f t="shared" si="14"/>
        <v>0</v>
      </c>
    </row>
    <row r="86" spans="1:57" ht="12.75" customHeight="1" x14ac:dyDescent="0.3">
      <c r="A86" s="8">
        <v>3</v>
      </c>
      <c r="B86" s="241" t="s">
        <v>148</v>
      </c>
      <c r="C86" s="242">
        <v>150</v>
      </c>
      <c r="D86" s="238">
        <f t="shared" si="15"/>
        <v>-150</v>
      </c>
      <c r="E86" s="243" t="s">
        <v>182</v>
      </c>
      <c r="F86" s="240">
        <f t="shared" si="16"/>
        <v>214496.46500000003</v>
      </c>
      <c r="G86" s="77"/>
      <c r="H86" s="77">
        <v>7950</v>
      </c>
      <c r="I86" s="78">
        <f t="shared" si="18"/>
        <v>150</v>
      </c>
      <c r="J86" s="77"/>
      <c r="K86" s="38"/>
      <c r="L86" s="7"/>
      <c r="U86" s="61"/>
      <c r="V86" s="63"/>
      <c r="W86" s="31">
        <f>SUM(I86)</f>
        <v>150</v>
      </c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BE86" s="61">
        <f t="shared" si="14"/>
        <v>0</v>
      </c>
    </row>
    <row r="87" spans="1:57" ht="12.75" customHeight="1" x14ac:dyDescent="0.3">
      <c r="A87" s="8">
        <v>3</v>
      </c>
      <c r="B87" s="241" t="s">
        <v>146</v>
      </c>
      <c r="C87" s="242">
        <v>149.99</v>
      </c>
      <c r="D87" s="238">
        <f t="shared" si="15"/>
        <v>-149.99</v>
      </c>
      <c r="E87" s="243">
        <v>43918</v>
      </c>
      <c r="F87" s="240">
        <f t="shared" si="16"/>
        <v>214346.47500000003</v>
      </c>
      <c r="G87" s="77"/>
      <c r="H87" s="77">
        <v>7950</v>
      </c>
      <c r="I87" s="78">
        <f t="shared" si="18"/>
        <v>149.99</v>
      </c>
      <c r="J87" s="77"/>
      <c r="K87" s="38"/>
      <c r="L87" s="7"/>
      <c r="U87" s="61"/>
      <c r="V87" s="63"/>
      <c r="W87" s="31">
        <f>SUM(I87)</f>
        <v>149.99</v>
      </c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BE87" s="61">
        <f t="shared" si="14"/>
        <v>0</v>
      </c>
    </row>
    <row r="88" spans="1:57" ht="12.75" customHeight="1" x14ac:dyDescent="0.3">
      <c r="A88" s="215">
        <v>3</v>
      </c>
      <c r="B88" s="250" t="s">
        <v>358</v>
      </c>
      <c r="C88" s="251">
        <f>71400-38655</f>
        <v>32745</v>
      </c>
      <c r="D88" s="252">
        <f t="shared" si="15"/>
        <v>-32745</v>
      </c>
      <c r="E88" s="253">
        <v>43921</v>
      </c>
      <c r="F88" s="254">
        <f t="shared" si="16"/>
        <v>181601.47500000003</v>
      </c>
      <c r="G88" s="77"/>
      <c r="H88" s="77"/>
      <c r="I88" s="78"/>
      <c r="J88" s="77"/>
      <c r="K88" s="38"/>
      <c r="L88" s="7"/>
      <c r="U88" s="61"/>
      <c r="V88" s="63"/>
      <c r="W88" s="31"/>
      <c r="X88" s="31">
        <f>SUM(C88)</f>
        <v>32745</v>
      </c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BE88" s="61">
        <f t="shared" si="14"/>
        <v>0</v>
      </c>
    </row>
    <row r="89" spans="1:57" ht="12.75" customHeight="1" x14ac:dyDescent="0.3">
      <c r="A89" s="8">
        <v>3</v>
      </c>
      <c r="B89" s="241" t="s">
        <v>144</v>
      </c>
      <c r="C89" s="242">
        <v>300</v>
      </c>
      <c r="D89" s="238">
        <f t="shared" si="15"/>
        <v>-300</v>
      </c>
      <c r="E89" s="243" t="s">
        <v>181</v>
      </c>
      <c r="F89" s="240">
        <f t="shared" si="16"/>
        <v>181301.47500000003</v>
      </c>
      <c r="G89" s="77"/>
      <c r="H89" s="77">
        <v>7950</v>
      </c>
      <c r="I89" s="78">
        <f t="shared" si="18"/>
        <v>300</v>
      </c>
      <c r="J89" s="77"/>
      <c r="K89" s="38"/>
      <c r="L89" s="7"/>
      <c r="U89" s="61"/>
      <c r="V89" s="63"/>
      <c r="W89" s="31">
        <f>SUM(I89)</f>
        <v>300</v>
      </c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BE89" s="61">
        <f t="shared" si="14"/>
        <v>0</v>
      </c>
    </row>
    <row r="90" spans="1:57" ht="12.75" customHeight="1" x14ac:dyDescent="0.3">
      <c r="A90" s="8">
        <v>3</v>
      </c>
      <c r="B90" s="244" t="s">
        <v>143</v>
      </c>
      <c r="C90" s="242">
        <v>75</v>
      </c>
      <c r="D90" s="238">
        <f t="shared" si="15"/>
        <v>-75</v>
      </c>
      <c r="E90" s="243" t="s">
        <v>181</v>
      </c>
      <c r="F90" s="240">
        <f t="shared" si="16"/>
        <v>181226.47500000003</v>
      </c>
      <c r="G90" s="77"/>
      <c r="H90" s="77">
        <v>7950</v>
      </c>
      <c r="I90" s="78">
        <f t="shared" si="18"/>
        <v>75</v>
      </c>
      <c r="J90" s="77"/>
      <c r="K90" s="38"/>
      <c r="L90" s="7"/>
      <c r="U90" s="61"/>
      <c r="V90" s="63"/>
      <c r="W90" s="31">
        <f>SUM(I90)</f>
        <v>75</v>
      </c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BE90" s="61">
        <f t="shared" si="14"/>
        <v>0</v>
      </c>
    </row>
    <row r="91" spans="1:57" ht="12.75" customHeight="1" x14ac:dyDescent="0.3">
      <c r="A91" s="8">
        <v>3</v>
      </c>
      <c r="B91" s="241" t="s">
        <v>142</v>
      </c>
      <c r="C91" s="242">
        <v>2500</v>
      </c>
      <c r="D91" s="238">
        <f t="shared" si="15"/>
        <v>-2500</v>
      </c>
      <c r="E91" s="243">
        <v>43921</v>
      </c>
      <c r="F91" s="240">
        <f t="shared" si="16"/>
        <v>178726.47500000003</v>
      </c>
      <c r="G91" s="77"/>
      <c r="H91" s="77">
        <v>5710</v>
      </c>
      <c r="I91" s="78">
        <f t="shared" si="18"/>
        <v>2500</v>
      </c>
      <c r="J91" s="77"/>
      <c r="K91" s="38"/>
      <c r="L91" s="7"/>
      <c r="U91" s="61"/>
      <c r="V91" s="63"/>
      <c r="W91" s="31"/>
      <c r="X91" s="31"/>
      <c r="Z91" s="31">
        <f>SUM(I91)</f>
        <v>2500</v>
      </c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BE91" s="61">
        <f>SUM(U91:BD91)-C91</f>
        <v>0</v>
      </c>
    </row>
    <row r="92" spans="1:57" ht="12.75" customHeight="1" x14ac:dyDescent="0.3">
      <c r="A92" s="8">
        <v>3</v>
      </c>
      <c r="B92" s="241" t="s">
        <v>141</v>
      </c>
      <c r="C92" s="242">
        <v>1080</v>
      </c>
      <c r="D92" s="238">
        <f t="shared" si="15"/>
        <v>-1080</v>
      </c>
      <c r="E92" s="243">
        <v>43921</v>
      </c>
      <c r="F92" s="240">
        <f t="shared" si="16"/>
        <v>177646.47500000003</v>
      </c>
      <c r="G92" s="77"/>
      <c r="H92" s="77">
        <v>6730</v>
      </c>
      <c r="I92" s="78">
        <f t="shared" si="18"/>
        <v>1080</v>
      </c>
      <c r="J92" s="77"/>
      <c r="K92" s="38"/>
      <c r="L92" s="7"/>
      <c r="U92" s="61"/>
      <c r="V92" s="63"/>
      <c r="W92" s="31"/>
      <c r="X92" s="31">
        <f>SUM(I92)</f>
        <v>1080</v>
      </c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BE92" s="61">
        <f>SUM(U92:BD92)-C92</f>
        <v>0</v>
      </c>
    </row>
    <row r="93" spans="1:57" ht="12.75" customHeight="1" thickBot="1" x14ac:dyDescent="0.35">
      <c r="A93" s="215">
        <v>3</v>
      </c>
      <c r="B93" s="250" t="s">
        <v>348</v>
      </c>
      <c r="C93" s="251">
        <v>5000</v>
      </c>
      <c r="D93" s="252">
        <f t="shared" si="15"/>
        <v>-5000</v>
      </c>
      <c r="E93" s="253" t="s">
        <v>374</v>
      </c>
      <c r="F93" s="254">
        <f t="shared" si="16"/>
        <v>172646.47500000003</v>
      </c>
      <c r="G93" s="77"/>
      <c r="H93" s="77">
        <v>5130</v>
      </c>
      <c r="I93" s="78">
        <f t="shared" si="18"/>
        <v>5000</v>
      </c>
      <c r="J93" s="77"/>
      <c r="K93" s="38"/>
      <c r="L93" s="7"/>
      <c r="U93" s="100"/>
      <c r="V93" s="99"/>
      <c r="W93" s="99"/>
      <c r="X93" s="99"/>
      <c r="Y93" s="99"/>
      <c r="Z93" s="99"/>
      <c r="AA93" s="99">
        <f>SUM(I93)</f>
        <v>5000</v>
      </c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100">
        <f>SUM(U93:BD93)-C93</f>
        <v>0</v>
      </c>
    </row>
    <row r="94" spans="1:57" ht="12.75" customHeight="1" x14ac:dyDescent="0.3">
      <c r="B94" s="241"/>
      <c r="C94" s="242"/>
      <c r="D94" s="238"/>
      <c r="E94" s="245" t="s">
        <v>284</v>
      </c>
      <c r="F94" s="240">
        <f t="shared" si="16"/>
        <v>172646.47500000003</v>
      </c>
      <c r="G94" s="77"/>
      <c r="H94" s="77"/>
      <c r="I94" s="78"/>
      <c r="J94" s="77"/>
      <c r="K94" s="38"/>
      <c r="L94" s="7"/>
      <c r="U94" s="107">
        <f t="shared" ref="U94:BD94" si="19">SUM(U56:U93)</f>
        <v>294.95</v>
      </c>
      <c r="V94" s="108">
        <f t="shared" si="19"/>
        <v>708.65</v>
      </c>
      <c r="W94" s="108">
        <f t="shared" si="19"/>
        <v>779.72749999999996</v>
      </c>
      <c r="X94" s="108">
        <f t="shared" si="19"/>
        <v>33825</v>
      </c>
      <c r="Y94" s="108">
        <f t="shared" si="19"/>
        <v>778.6875</v>
      </c>
      <c r="Z94" s="108">
        <f t="shared" si="19"/>
        <v>2500</v>
      </c>
      <c r="AA94" s="108">
        <f t="shared" si="19"/>
        <v>7375</v>
      </c>
      <c r="AB94" s="108">
        <f t="shared" si="19"/>
        <v>7500</v>
      </c>
      <c r="AC94" s="108">
        <f t="shared" si="19"/>
        <v>2350</v>
      </c>
      <c r="AD94" s="108">
        <f t="shared" si="19"/>
        <v>1674</v>
      </c>
      <c r="AE94" s="108">
        <f t="shared" si="19"/>
        <v>8333</v>
      </c>
      <c r="AF94" s="108">
        <f t="shared" si="19"/>
        <v>150</v>
      </c>
      <c r="AG94" s="108">
        <f t="shared" si="19"/>
        <v>2020</v>
      </c>
      <c r="AH94" s="108">
        <f t="shared" si="19"/>
        <v>20000</v>
      </c>
      <c r="AI94" s="108">
        <f t="shared" si="19"/>
        <v>1500</v>
      </c>
      <c r="AJ94" s="108">
        <f t="shared" si="19"/>
        <v>3000</v>
      </c>
      <c r="AK94" s="108">
        <f t="shared" si="19"/>
        <v>250</v>
      </c>
      <c r="AL94" s="108">
        <f t="shared" si="19"/>
        <v>0</v>
      </c>
      <c r="AM94" s="108">
        <f t="shared" si="19"/>
        <v>200</v>
      </c>
      <c r="AN94" s="108">
        <f t="shared" si="19"/>
        <v>625</v>
      </c>
      <c r="AO94" s="108">
        <f t="shared" si="19"/>
        <v>0</v>
      </c>
      <c r="AP94" s="108">
        <f t="shared" si="19"/>
        <v>1833.35</v>
      </c>
      <c r="AQ94" s="108">
        <f t="shared" si="19"/>
        <v>111.1875</v>
      </c>
      <c r="AR94" s="108">
        <f t="shared" si="19"/>
        <v>63.75</v>
      </c>
      <c r="AS94" s="108">
        <f t="shared" si="19"/>
        <v>0</v>
      </c>
      <c r="AT94" s="108">
        <f t="shared" si="19"/>
        <v>2250</v>
      </c>
      <c r="AU94" s="108">
        <f t="shared" si="19"/>
        <v>3050</v>
      </c>
      <c r="AV94" s="108">
        <f t="shared" si="19"/>
        <v>1747.6</v>
      </c>
      <c r="AW94" s="108">
        <f t="shared" si="19"/>
        <v>800</v>
      </c>
      <c r="AX94" s="108">
        <f t="shared" si="19"/>
        <v>4500</v>
      </c>
      <c r="AY94" s="108">
        <f t="shared" si="19"/>
        <v>600</v>
      </c>
      <c r="AZ94" s="108">
        <f t="shared" si="19"/>
        <v>1800</v>
      </c>
      <c r="BA94" s="108">
        <f t="shared" si="19"/>
        <v>0</v>
      </c>
      <c r="BB94" s="108">
        <f t="shared" si="19"/>
        <v>2375</v>
      </c>
      <c r="BC94" s="108">
        <f t="shared" si="19"/>
        <v>5000</v>
      </c>
      <c r="BD94" s="108">
        <f t="shared" si="19"/>
        <v>1750</v>
      </c>
      <c r="BE94" s="61"/>
    </row>
    <row r="95" spans="1:57" ht="12.75" customHeight="1" x14ac:dyDescent="0.3">
      <c r="A95" s="403">
        <v>4</v>
      </c>
      <c r="B95" s="398" t="s">
        <v>450</v>
      </c>
      <c r="C95" s="399">
        <f>SUM(C56)</f>
        <v>5000</v>
      </c>
      <c r="D95" s="400">
        <f t="shared" ref="D95" si="20">SUM(C95*-1)</f>
        <v>-5000</v>
      </c>
      <c r="E95" s="401" t="s">
        <v>390</v>
      </c>
      <c r="F95" s="402">
        <f t="shared" si="16"/>
        <v>167646.47500000003</v>
      </c>
      <c r="G95" s="77"/>
      <c r="H95" s="77"/>
      <c r="I95" s="78"/>
      <c r="J95" s="77"/>
      <c r="K95" s="38"/>
      <c r="L95" s="7"/>
      <c r="U95" s="61"/>
      <c r="V95" s="63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BC95" s="31">
        <f>SUM(C95)</f>
        <v>5000</v>
      </c>
      <c r="BE95" s="61">
        <f>SUM(U95:BD95)-C95</f>
        <v>0</v>
      </c>
    </row>
    <row r="96" spans="1:57" ht="12.75" customHeight="1" x14ac:dyDescent="0.3">
      <c r="A96" s="8">
        <v>4</v>
      </c>
      <c r="B96" s="241" t="s">
        <v>177</v>
      </c>
      <c r="C96" s="242">
        <v>2000</v>
      </c>
      <c r="D96" s="238">
        <f t="shared" si="15"/>
        <v>-2000</v>
      </c>
      <c r="E96" s="243" t="s">
        <v>170</v>
      </c>
      <c r="F96" s="240">
        <f t="shared" si="16"/>
        <v>165646.47500000003</v>
      </c>
      <c r="G96" s="77"/>
      <c r="H96" s="77"/>
      <c r="I96" s="78"/>
      <c r="J96" s="77"/>
      <c r="K96" s="38"/>
      <c r="L96" s="7"/>
      <c r="U96" s="61"/>
      <c r="V96" s="63">
        <v>250</v>
      </c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BD96" s="63">
        <v>1750</v>
      </c>
      <c r="BE96" s="61">
        <f>SUM(U96:BD96)-C96</f>
        <v>0</v>
      </c>
    </row>
    <row r="97" spans="1:57" ht="12.75" customHeight="1" x14ac:dyDescent="0.3">
      <c r="A97" s="215">
        <v>4</v>
      </c>
      <c r="B97" s="479" t="s">
        <v>398</v>
      </c>
      <c r="C97" s="251">
        <v>2000</v>
      </c>
      <c r="D97" s="252">
        <f t="shared" ref="D97:D98" si="21">SUM(C97*-1)</f>
        <v>-2000</v>
      </c>
      <c r="E97" s="480" t="s">
        <v>397</v>
      </c>
      <c r="F97" s="254">
        <f t="shared" si="16"/>
        <v>163646.47500000003</v>
      </c>
      <c r="G97" s="77"/>
      <c r="H97" s="77"/>
      <c r="I97" s="78"/>
      <c r="J97" s="77"/>
      <c r="K97" s="38"/>
      <c r="L97" s="7"/>
      <c r="U97" s="61"/>
      <c r="V97" s="63"/>
      <c r="W97" s="31"/>
      <c r="X97" s="31"/>
      <c r="Y97" s="31"/>
      <c r="Z97" s="31"/>
      <c r="AA97" s="31">
        <f>SUM(C97)</f>
        <v>2000</v>
      </c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BD97" s="63"/>
      <c r="BE97" s="61">
        <f t="shared" ref="BE97:BE102" si="22">SUM(U97:BD97)-C97</f>
        <v>0</v>
      </c>
    </row>
    <row r="98" spans="1:57" ht="12.75" customHeight="1" x14ac:dyDescent="0.3">
      <c r="A98" s="215">
        <v>4</v>
      </c>
      <c r="B98" s="479" t="s">
        <v>401</v>
      </c>
      <c r="C98" s="251">
        <v>800</v>
      </c>
      <c r="D98" s="252">
        <f t="shared" si="21"/>
        <v>-800</v>
      </c>
      <c r="E98" s="480" t="s">
        <v>402</v>
      </c>
      <c r="F98" s="254">
        <f t="shared" si="16"/>
        <v>162846.47500000003</v>
      </c>
      <c r="G98" s="77"/>
      <c r="H98" s="77"/>
      <c r="I98" s="78"/>
      <c r="J98" s="77"/>
      <c r="K98" s="38"/>
      <c r="L98" s="7"/>
      <c r="U98" s="61"/>
      <c r="V98" s="63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W98" s="31">
        <f>SUM(C98)</f>
        <v>800</v>
      </c>
      <c r="BD98" s="63"/>
      <c r="BE98" s="61">
        <f t="shared" si="22"/>
        <v>0</v>
      </c>
    </row>
    <row r="99" spans="1:57" ht="12.75" customHeight="1" x14ac:dyDescent="0.3">
      <c r="A99" s="8">
        <v>4</v>
      </c>
      <c r="B99" s="241" t="s">
        <v>176</v>
      </c>
      <c r="C99" s="242">
        <v>7500</v>
      </c>
      <c r="D99" s="238">
        <f t="shared" si="15"/>
        <v>-7500</v>
      </c>
      <c r="E99" s="243" t="s">
        <v>170</v>
      </c>
      <c r="F99" s="478">
        <f t="shared" si="16"/>
        <v>155346.47500000003</v>
      </c>
      <c r="G99" s="77"/>
      <c r="H99" s="77">
        <v>5510</v>
      </c>
      <c r="I99" s="78">
        <f>C99</f>
        <v>7500</v>
      </c>
      <c r="J99" s="77"/>
      <c r="K99" s="38"/>
      <c r="L99" s="7"/>
      <c r="U99" s="61"/>
      <c r="V99" s="63"/>
      <c r="W99" s="31"/>
      <c r="X99" s="31"/>
      <c r="Y99" s="31"/>
      <c r="Z99" s="31"/>
      <c r="AA99" s="31"/>
      <c r="AB99" s="31">
        <f>SUM(I99)</f>
        <v>7500</v>
      </c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BE99" s="61">
        <f t="shared" si="22"/>
        <v>0</v>
      </c>
    </row>
    <row r="100" spans="1:57" ht="12.75" customHeight="1" x14ac:dyDescent="0.3">
      <c r="A100" s="215">
        <v>4</v>
      </c>
      <c r="B100" s="479" t="s">
        <v>411</v>
      </c>
      <c r="C100" s="251">
        <v>600</v>
      </c>
      <c r="D100" s="252">
        <f t="shared" ref="D100" si="23">SUM(C100*-1)</f>
        <v>-600</v>
      </c>
      <c r="E100" s="480" t="s">
        <v>412</v>
      </c>
      <c r="F100" s="254">
        <f t="shared" si="16"/>
        <v>154746.47500000003</v>
      </c>
      <c r="G100" s="77"/>
      <c r="H100" s="77"/>
      <c r="I100" s="78"/>
      <c r="J100" s="77"/>
      <c r="K100" s="38"/>
      <c r="L100" s="7"/>
      <c r="U100" s="61"/>
      <c r="V100" s="63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Y100" s="31">
        <f>SUM(C100)</f>
        <v>600</v>
      </c>
      <c r="AZ100" s="31"/>
      <c r="BA100" s="31"/>
      <c r="BE100" s="61">
        <f t="shared" si="22"/>
        <v>0</v>
      </c>
    </row>
    <row r="101" spans="1:57" ht="12.75" customHeight="1" x14ac:dyDescent="0.3">
      <c r="A101" s="8">
        <v>4</v>
      </c>
      <c r="B101" s="241" t="s">
        <v>175</v>
      </c>
      <c r="C101" s="242">
        <v>550</v>
      </c>
      <c r="D101" s="238">
        <f t="shared" si="15"/>
        <v>-550</v>
      </c>
      <c r="E101" s="243" t="s">
        <v>170</v>
      </c>
      <c r="F101" s="478">
        <f t="shared" si="16"/>
        <v>154196.47500000003</v>
      </c>
      <c r="G101" s="77"/>
      <c r="H101" s="77">
        <v>7650</v>
      </c>
      <c r="I101" s="78">
        <f>C101</f>
        <v>550</v>
      </c>
      <c r="J101" s="77"/>
      <c r="K101" s="38"/>
      <c r="L101" s="7"/>
      <c r="U101" s="61"/>
      <c r="V101" s="63"/>
      <c r="W101" s="31"/>
      <c r="X101" s="31"/>
      <c r="Y101" s="31"/>
      <c r="Z101" s="31"/>
      <c r="AA101" s="31"/>
      <c r="AB101" s="31"/>
      <c r="AC101" s="31">
        <f>SUM(I101)</f>
        <v>550</v>
      </c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BE101" s="61">
        <f t="shared" si="22"/>
        <v>0</v>
      </c>
    </row>
    <row r="102" spans="1:57" ht="12.75" customHeight="1" x14ac:dyDescent="0.3">
      <c r="A102" s="8">
        <v>4</v>
      </c>
      <c r="B102" s="241" t="s">
        <v>174</v>
      </c>
      <c r="C102" s="242">
        <v>1800</v>
      </c>
      <c r="D102" s="238">
        <f t="shared" si="15"/>
        <v>-1800</v>
      </c>
      <c r="E102" s="243" t="s">
        <v>173</v>
      </c>
      <c r="F102" s="478">
        <f t="shared" si="16"/>
        <v>152396.47500000003</v>
      </c>
      <c r="G102" s="77"/>
      <c r="H102" s="77">
        <v>7650</v>
      </c>
      <c r="I102" s="78">
        <f>C102</f>
        <v>1800</v>
      </c>
      <c r="J102" s="77"/>
      <c r="K102" s="38"/>
      <c r="L102" s="7"/>
      <c r="U102" s="61"/>
      <c r="V102" s="63"/>
      <c r="W102" s="31"/>
      <c r="X102" s="31"/>
      <c r="Y102" s="31"/>
      <c r="Z102" s="31"/>
      <c r="AA102" s="31"/>
      <c r="AB102" s="31"/>
      <c r="AC102" s="31">
        <f>SUM(I102)</f>
        <v>1800</v>
      </c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BE102" s="61">
        <f t="shared" si="22"/>
        <v>0</v>
      </c>
    </row>
    <row r="103" spans="1:57" ht="12.75" customHeight="1" x14ac:dyDescent="0.3">
      <c r="A103" s="8">
        <v>4</v>
      </c>
      <c r="B103" s="241" t="s">
        <v>172</v>
      </c>
      <c r="C103" s="242">
        <v>9917</v>
      </c>
      <c r="D103" s="238">
        <f t="shared" si="15"/>
        <v>-9917</v>
      </c>
      <c r="E103" s="243" t="s">
        <v>170</v>
      </c>
      <c r="F103" s="478">
        <f t="shared" si="16"/>
        <v>142479.47500000003</v>
      </c>
      <c r="G103" s="77"/>
      <c r="H103" s="77">
        <v>5750</v>
      </c>
      <c r="I103" s="80">
        <v>1584</v>
      </c>
      <c r="J103" s="77">
        <v>5520</v>
      </c>
      <c r="K103" s="38">
        <v>8333</v>
      </c>
      <c r="L103" s="7"/>
      <c r="U103" s="61"/>
      <c r="V103" s="63"/>
      <c r="W103" s="31"/>
      <c r="X103" s="31"/>
      <c r="Y103" s="31"/>
      <c r="Z103" s="31"/>
      <c r="AA103" s="31"/>
      <c r="AB103" s="31"/>
      <c r="AC103" s="31"/>
      <c r="AD103" s="31">
        <f>SUM(I103)</f>
        <v>1584</v>
      </c>
      <c r="AE103" s="31">
        <f>SUM(K103)</f>
        <v>8333</v>
      </c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BE103" s="61">
        <f>SUM(U103:BD103)-C103</f>
        <v>0</v>
      </c>
    </row>
    <row r="104" spans="1:57" ht="12.75" customHeight="1" x14ac:dyDescent="0.3">
      <c r="A104" s="8">
        <v>4</v>
      </c>
      <c r="B104" s="241" t="s">
        <v>171</v>
      </c>
      <c r="C104" s="242">
        <v>34.950000000000003</v>
      </c>
      <c r="D104" s="238">
        <f t="shared" si="15"/>
        <v>-34.950000000000003</v>
      </c>
      <c r="E104" s="243" t="s">
        <v>170</v>
      </c>
      <c r="F104" s="478">
        <f t="shared" si="16"/>
        <v>142444.52500000002</v>
      </c>
      <c r="G104" s="77"/>
      <c r="H104" s="77">
        <v>7850</v>
      </c>
      <c r="I104" s="78">
        <f>C104</f>
        <v>34.950000000000003</v>
      </c>
      <c r="J104" s="77"/>
      <c r="K104" s="38"/>
      <c r="L104" s="7"/>
      <c r="U104" s="61">
        <f>SUM(I104)</f>
        <v>34.950000000000003</v>
      </c>
      <c r="V104" s="63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BE104" s="61">
        <f>SUM(U104:BD104)-C104</f>
        <v>0</v>
      </c>
    </row>
    <row r="105" spans="1:57" ht="12.75" customHeight="1" x14ac:dyDescent="0.3">
      <c r="A105" s="8">
        <v>4</v>
      </c>
      <c r="B105" s="241" t="s">
        <v>169</v>
      </c>
      <c r="C105" s="242">
        <v>150</v>
      </c>
      <c r="D105" s="238">
        <f t="shared" si="15"/>
        <v>-150</v>
      </c>
      <c r="E105" s="243" t="s">
        <v>168</v>
      </c>
      <c r="F105" s="478">
        <f t="shared" si="16"/>
        <v>142294.52500000002</v>
      </c>
      <c r="G105" s="77"/>
      <c r="H105" s="77">
        <v>7090</v>
      </c>
      <c r="I105" s="78">
        <f>C105</f>
        <v>150</v>
      </c>
      <c r="J105" s="77"/>
      <c r="K105" s="38"/>
      <c r="L105" s="7"/>
      <c r="U105" s="61"/>
      <c r="V105" s="63"/>
      <c r="W105" s="31"/>
      <c r="X105" s="31"/>
      <c r="Y105" s="31"/>
      <c r="Z105" s="31"/>
      <c r="AA105" s="31"/>
      <c r="AB105" s="31"/>
      <c r="AC105" s="31"/>
      <c r="AD105" s="31"/>
      <c r="AE105" s="31"/>
      <c r="AF105" s="31">
        <f>SUM(I105)</f>
        <v>150</v>
      </c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BE105" s="61">
        <f>SUM(U105:BD105)-C105</f>
        <v>0</v>
      </c>
    </row>
    <row r="106" spans="1:57" ht="12.75" customHeight="1" x14ac:dyDescent="0.3">
      <c r="A106" s="8">
        <v>4</v>
      </c>
      <c r="B106" s="241" t="s">
        <v>155</v>
      </c>
      <c r="C106" s="242">
        <v>13385</v>
      </c>
      <c r="D106" s="238">
        <v>-13385</v>
      </c>
      <c r="E106" s="486" t="s">
        <v>167</v>
      </c>
      <c r="F106" s="478">
        <f t="shared" si="16"/>
        <v>128909.52500000002</v>
      </c>
      <c r="G106" s="77"/>
      <c r="H106" s="77">
        <v>8570</v>
      </c>
      <c r="I106" s="80">
        <v>1010</v>
      </c>
      <c r="J106" s="77" t="s">
        <v>207</v>
      </c>
      <c r="K106" s="38" t="s">
        <v>207</v>
      </c>
      <c r="L106" s="7">
        <v>8510</v>
      </c>
      <c r="M106" s="38">
        <v>10000</v>
      </c>
      <c r="N106" s="50">
        <v>8520</v>
      </c>
      <c r="O106" s="38">
        <v>750</v>
      </c>
      <c r="P106" s="50">
        <v>8530</v>
      </c>
      <c r="Q106" s="123">
        <v>1500</v>
      </c>
      <c r="R106" s="50">
        <v>8590</v>
      </c>
      <c r="S106" s="38">
        <v>125</v>
      </c>
      <c r="T106" s="51">
        <v>13385</v>
      </c>
      <c r="U106" s="61"/>
      <c r="V106" s="63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>
        <v>1010</v>
      </c>
      <c r="AH106" s="31">
        <v>10000</v>
      </c>
      <c r="AI106" s="31">
        <v>750</v>
      </c>
      <c r="AJ106" s="31">
        <v>1500</v>
      </c>
      <c r="AK106" s="31">
        <v>125</v>
      </c>
      <c r="AL106" s="31"/>
      <c r="AM106" s="31"/>
      <c r="AN106" s="31"/>
      <c r="AO106" s="31"/>
      <c r="AP106" s="31"/>
      <c r="AQ106" s="31"/>
      <c r="AR106" s="31"/>
      <c r="AS106" s="31"/>
      <c r="BE106" s="61">
        <v>0</v>
      </c>
    </row>
    <row r="107" spans="1:57" ht="12.75" customHeight="1" x14ac:dyDescent="0.3">
      <c r="A107" s="8">
        <v>4</v>
      </c>
      <c r="B107" s="241" t="s">
        <v>153</v>
      </c>
      <c r="C107" s="242">
        <v>100</v>
      </c>
      <c r="D107" s="238">
        <f t="shared" si="15"/>
        <v>-100</v>
      </c>
      <c r="E107" s="243" t="s">
        <v>166</v>
      </c>
      <c r="F107" s="478">
        <f t="shared" si="16"/>
        <v>128809.52500000002</v>
      </c>
      <c r="G107" s="77"/>
      <c r="H107" s="77">
        <v>7850</v>
      </c>
      <c r="I107" s="78">
        <f t="shared" ref="I107:I112" si="24">C107</f>
        <v>100</v>
      </c>
      <c r="J107" s="77"/>
      <c r="K107" s="38"/>
      <c r="L107" s="7"/>
      <c r="U107" s="61">
        <f>SUM(I107)</f>
        <v>100</v>
      </c>
      <c r="V107" s="63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BE107" s="61">
        <f t="shared" ref="BE107:BE112" si="25">SUM(U107:BD107)-C107</f>
        <v>0</v>
      </c>
    </row>
    <row r="108" spans="1:57" ht="12.75" customHeight="1" x14ac:dyDescent="0.3">
      <c r="A108" s="8">
        <v>4</v>
      </c>
      <c r="B108" s="241" t="s">
        <v>165</v>
      </c>
      <c r="C108" s="242">
        <v>200</v>
      </c>
      <c r="D108" s="238">
        <f t="shared" si="15"/>
        <v>-200</v>
      </c>
      <c r="E108" s="243" t="s">
        <v>161</v>
      </c>
      <c r="F108" s="478">
        <f t="shared" si="16"/>
        <v>128609.52500000002</v>
      </c>
      <c r="G108" s="77"/>
      <c r="H108" s="77">
        <v>6770</v>
      </c>
      <c r="I108" s="78">
        <f t="shared" si="24"/>
        <v>200</v>
      </c>
      <c r="J108" s="77"/>
      <c r="K108" s="38"/>
      <c r="L108" s="7"/>
      <c r="U108" s="61"/>
      <c r="V108" s="63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>
        <f>SUM(I108)</f>
        <v>200</v>
      </c>
      <c r="AN108" s="31"/>
      <c r="AO108" s="31"/>
      <c r="AP108" s="31"/>
      <c r="AQ108" s="31"/>
      <c r="AR108" s="31"/>
      <c r="AS108" s="31"/>
      <c r="BE108" s="61">
        <f t="shared" si="25"/>
        <v>0</v>
      </c>
    </row>
    <row r="109" spans="1:57" ht="12.75" customHeight="1" x14ac:dyDescent="0.3">
      <c r="A109" s="8">
        <v>4</v>
      </c>
      <c r="B109" s="244" t="s">
        <v>164</v>
      </c>
      <c r="C109" s="242">
        <v>625</v>
      </c>
      <c r="D109" s="238">
        <f t="shared" si="15"/>
        <v>-625</v>
      </c>
      <c r="E109" s="243" t="s">
        <v>163</v>
      </c>
      <c r="F109" s="240">
        <f t="shared" si="16"/>
        <v>127984.52500000002</v>
      </c>
      <c r="G109" s="77"/>
      <c r="H109" s="77">
        <v>5540</v>
      </c>
      <c r="I109" s="78">
        <f t="shared" si="24"/>
        <v>625</v>
      </c>
      <c r="J109" s="77"/>
      <c r="K109" s="38"/>
      <c r="L109" s="7"/>
      <c r="U109" s="61"/>
      <c r="V109" s="63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>
        <f>SUM(I109)</f>
        <v>625</v>
      </c>
      <c r="AO109" s="31"/>
      <c r="AP109" s="31"/>
      <c r="AQ109" s="31"/>
      <c r="AR109" s="31"/>
      <c r="AS109" s="31"/>
      <c r="BE109" s="61">
        <f t="shared" si="25"/>
        <v>0</v>
      </c>
    </row>
    <row r="110" spans="1:57" ht="12.75" customHeight="1" x14ac:dyDescent="0.3">
      <c r="A110" s="8">
        <v>4</v>
      </c>
      <c r="B110" s="241" t="s">
        <v>162</v>
      </c>
      <c r="C110" s="242">
        <v>60</v>
      </c>
      <c r="D110" s="238">
        <f t="shared" si="15"/>
        <v>-60</v>
      </c>
      <c r="E110" s="243" t="s">
        <v>161</v>
      </c>
      <c r="F110" s="240">
        <f t="shared" si="16"/>
        <v>127924.52500000002</v>
      </c>
      <c r="G110" s="77"/>
      <c r="H110" s="77">
        <v>7850</v>
      </c>
      <c r="I110" s="78">
        <f t="shared" si="24"/>
        <v>60</v>
      </c>
      <c r="J110" s="77"/>
      <c r="K110" s="38"/>
      <c r="L110" s="7"/>
      <c r="U110" s="61">
        <f>SUM(I110)</f>
        <v>60</v>
      </c>
      <c r="V110" s="63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BE110" s="61">
        <f t="shared" si="25"/>
        <v>0</v>
      </c>
    </row>
    <row r="111" spans="1:57" ht="12.75" customHeight="1" x14ac:dyDescent="0.3">
      <c r="A111" s="8">
        <v>4</v>
      </c>
      <c r="B111" s="244" t="s">
        <v>160</v>
      </c>
      <c r="C111" s="237">
        <v>1833.35</v>
      </c>
      <c r="D111" s="238">
        <f t="shared" si="15"/>
        <v>-1833.35</v>
      </c>
      <c r="E111" s="243" t="s">
        <v>159</v>
      </c>
      <c r="F111" s="240">
        <f t="shared" si="16"/>
        <v>126091.17500000002</v>
      </c>
      <c r="G111" s="79"/>
      <c r="H111" s="77">
        <v>6590</v>
      </c>
      <c r="I111" s="78">
        <f t="shared" si="24"/>
        <v>1833.35</v>
      </c>
      <c r="J111" s="77"/>
      <c r="K111" s="38"/>
      <c r="L111" s="7"/>
      <c r="U111" s="61"/>
      <c r="V111" s="63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P111" s="31">
        <f>SUM(I111)</f>
        <v>1833.35</v>
      </c>
      <c r="AQ111" s="31"/>
      <c r="AR111" s="31"/>
      <c r="AS111" s="31"/>
      <c r="BE111" s="61">
        <f t="shared" si="25"/>
        <v>0</v>
      </c>
    </row>
    <row r="112" spans="1:57" ht="12.75" customHeight="1" x14ac:dyDescent="0.3">
      <c r="A112" s="8">
        <v>4</v>
      </c>
      <c r="B112" s="244" t="s">
        <v>369</v>
      </c>
      <c r="C112" s="237">
        <v>1500</v>
      </c>
      <c r="D112" s="238">
        <f t="shared" si="15"/>
        <v>-1500</v>
      </c>
      <c r="E112" s="243">
        <v>43939</v>
      </c>
      <c r="F112" s="240">
        <f t="shared" si="16"/>
        <v>124591.17500000002</v>
      </c>
      <c r="G112" s="79"/>
      <c r="H112" s="77"/>
      <c r="I112" s="78">
        <f t="shared" si="24"/>
        <v>1500</v>
      </c>
      <c r="J112" s="77"/>
      <c r="K112" s="38"/>
      <c r="L112" s="7"/>
      <c r="U112" s="61"/>
      <c r="V112" s="63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P112" s="31"/>
      <c r="AQ112" s="31"/>
      <c r="AR112" s="31"/>
      <c r="AS112" s="31"/>
      <c r="BD112" s="63">
        <v>1500</v>
      </c>
      <c r="BE112" s="61">
        <f t="shared" si="25"/>
        <v>0</v>
      </c>
    </row>
    <row r="113" spans="1:57" ht="12.75" customHeight="1" x14ac:dyDescent="0.3">
      <c r="A113" s="8">
        <v>4</v>
      </c>
      <c r="B113" s="241" t="s">
        <v>155</v>
      </c>
      <c r="C113" s="242">
        <v>13385</v>
      </c>
      <c r="D113" s="238">
        <v>-13385</v>
      </c>
      <c r="E113" s="486" t="s">
        <v>154</v>
      </c>
      <c r="F113" s="240">
        <f t="shared" si="16"/>
        <v>111206.17500000002</v>
      </c>
      <c r="G113" s="77"/>
      <c r="H113" s="77">
        <v>8570</v>
      </c>
      <c r="I113" s="80">
        <v>1010</v>
      </c>
      <c r="J113" s="77" t="s">
        <v>207</v>
      </c>
      <c r="K113" s="38" t="s">
        <v>207</v>
      </c>
      <c r="L113" s="7">
        <v>8510</v>
      </c>
      <c r="M113" s="38">
        <v>10000</v>
      </c>
      <c r="N113" s="50">
        <v>8520</v>
      </c>
      <c r="O113" s="38">
        <v>750</v>
      </c>
      <c r="P113" s="50">
        <v>8530</v>
      </c>
      <c r="Q113" s="123">
        <v>1500</v>
      </c>
      <c r="R113" s="50">
        <v>8590</v>
      </c>
      <c r="S113" s="38">
        <v>125</v>
      </c>
      <c r="T113" s="51">
        <v>13385</v>
      </c>
      <c r="U113" s="61"/>
      <c r="V113" s="63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>
        <v>1010</v>
      </c>
      <c r="AH113" s="31">
        <v>10000</v>
      </c>
      <c r="AI113" s="31">
        <v>750</v>
      </c>
      <c r="AJ113" s="31">
        <v>1500</v>
      </c>
      <c r="AK113" s="31">
        <v>125</v>
      </c>
      <c r="AL113" s="31"/>
      <c r="AM113" s="31"/>
      <c r="AN113" s="31"/>
      <c r="AO113" s="31"/>
      <c r="AP113" s="31"/>
      <c r="AQ113" s="31"/>
      <c r="AR113" s="31"/>
      <c r="AS113" s="31"/>
      <c r="BE113" s="61">
        <f t="shared" ref="BE113:BE119" si="26">SUM(U113:BD113)-C113</f>
        <v>0</v>
      </c>
    </row>
    <row r="114" spans="1:57" ht="12.75" customHeight="1" x14ac:dyDescent="0.3">
      <c r="A114" s="8">
        <v>4</v>
      </c>
      <c r="B114" s="241" t="s">
        <v>153</v>
      </c>
      <c r="C114" s="242">
        <v>100</v>
      </c>
      <c r="D114" s="238">
        <f t="shared" si="15"/>
        <v>-100</v>
      </c>
      <c r="E114" s="243" t="s">
        <v>152</v>
      </c>
      <c r="F114" s="240">
        <f t="shared" si="16"/>
        <v>111106.17500000002</v>
      </c>
      <c r="G114" s="77"/>
      <c r="H114" s="77">
        <v>7850</v>
      </c>
      <c r="I114" s="78">
        <f>C114</f>
        <v>100</v>
      </c>
      <c r="J114" s="77"/>
      <c r="K114" s="38"/>
      <c r="L114" s="7"/>
      <c r="U114" s="61">
        <f>SUM(I114)</f>
        <v>100</v>
      </c>
      <c r="V114" s="63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BE114" s="61">
        <f t="shared" si="26"/>
        <v>0</v>
      </c>
    </row>
    <row r="115" spans="1:57" s="488" customFormat="1" ht="12.75" customHeight="1" x14ac:dyDescent="0.3">
      <c r="A115" s="215">
        <v>4</v>
      </c>
      <c r="B115" s="479" t="s">
        <v>407</v>
      </c>
      <c r="C115" s="251">
        <f>880+210</f>
        <v>1090</v>
      </c>
      <c r="D115" s="252">
        <f t="shared" si="15"/>
        <v>-1090</v>
      </c>
      <c r="E115" s="480" t="s">
        <v>437</v>
      </c>
      <c r="F115" s="254">
        <f t="shared" si="16"/>
        <v>110016.17500000002</v>
      </c>
      <c r="G115" s="77"/>
      <c r="H115" s="77"/>
      <c r="I115" s="78"/>
      <c r="J115" s="77"/>
      <c r="K115" s="38"/>
      <c r="L115" s="7"/>
      <c r="M115" s="7"/>
      <c r="N115" s="7"/>
      <c r="O115" s="7"/>
      <c r="P115" s="7"/>
      <c r="Q115" s="7"/>
      <c r="R115" s="7"/>
      <c r="S115" s="7"/>
      <c r="T115" s="7"/>
      <c r="U115" s="61"/>
      <c r="V115" s="63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63">
        <f>SUM(C115)</f>
        <v>1090</v>
      </c>
      <c r="BE115" s="61">
        <f t="shared" si="26"/>
        <v>0</v>
      </c>
    </row>
    <row r="116" spans="1:57" ht="12.75" customHeight="1" x14ac:dyDescent="0.3">
      <c r="A116" s="215">
        <v>4</v>
      </c>
      <c r="B116" s="479" t="s">
        <v>407</v>
      </c>
      <c r="C116" s="251">
        <v>1300</v>
      </c>
      <c r="D116" s="252">
        <f t="shared" ref="D116:D117" si="27">SUM(C116*-1)</f>
        <v>-1300</v>
      </c>
      <c r="E116" s="480" t="s">
        <v>428</v>
      </c>
      <c r="F116" s="254">
        <f t="shared" si="16"/>
        <v>108716.17500000002</v>
      </c>
      <c r="G116" s="77"/>
      <c r="H116" s="77"/>
      <c r="I116" s="78"/>
      <c r="J116" s="77"/>
      <c r="K116" s="38"/>
      <c r="L116" s="7"/>
      <c r="U116" s="61"/>
      <c r="V116" s="63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BB116" s="31">
        <f>SUM(C116)</f>
        <v>1300</v>
      </c>
      <c r="BE116" s="61">
        <f t="shared" si="26"/>
        <v>0</v>
      </c>
    </row>
    <row r="117" spans="1:57" ht="12.75" customHeight="1" x14ac:dyDescent="0.3">
      <c r="A117" s="215">
        <v>4</v>
      </c>
      <c r="B117" s="479" t="s">
        <v>410</v>
      </c>
      <c r="C117" s="251">
        <v>1075</v>
      </c>
      <c r="D117" s="252">
        <f t="shared" si="27"/>
        <v>-1075</v>
      </c>
      <c r="E117" s="480" t="s">
        <v>429</v>
      </c>
      <c r="F117" s="254">
        <f t="shared" si="16"/>
        <v>107641.17500000002</v>
      </c>
      <c r="G117" s="77"/>
      <c r="H117" s="77"/>
      <c r="I117" s="78"/>
      <c r="J117" s="77"/>
      <c r="K117" s="38"/>
      <c r="L117" s="7"/>
      <c r="U117" s="61"/>
      <c r="V117" s="63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BB117" s="31">
        <f>SUM(C117)</f>
        <v>1075</v>
      </c>
      <c r="BE117" s="61">
        <f t="shared" si="26"/>
        <v>0</v>
      </c>
    </row>
    <row r="118" spans="1:57" ht="12.75" customHeight="1" x14ac:dyDescent="0.3">
      <c r="A118" s="8">
        <v>4</v>
      </c>
      <c r="B118" s="244" t="s">
        <v>266</v>
      </c>
      <c r="C118" s="242">
        <v>1523.36</v>
      </c>
      <c r="D118" s="238">
        <f t="shared" si="15"/>
        <v>-1523.36</v>
      </c>
      <c r="E118" s="243" t="s">
        <v>151</v>
      </c>
      <c r="F118" s="240">
        <f>SUM(F117+D118)</f>
        <v>106117.81500000002</v>
      </c>
      <c r="G118" s="77"/>
      <c r="H118" s="570" t="s">
        <v>264</v>
      </c>
      <c r="I118" s="570"/>
      <c r="J118" s="77"/>
      <c r="K118" s="38"/>
      <c r="L118" s="7"/>
      <c r="U118" s="61"/>
      <c r="V118" s="63"/>
      <c r="W118" s="31">
        <f>SUM(W83)</f>
        <v>104.73750000000001</v>
      </c>
      <c r="X118" s="31"/>
      <c r="Y118" s="31">
        <f>SUM(Y83)</f>
        <v>778.6875</v>
      </c>
      <c r="Z118" s="31"/>
      <c r="AA118" s="31">
        <f>SUM(AA83)</f>
        <v>375</v>
      </c>
      <c r="AB118" s="31"/>
      <c r="AC118" s="31"/>
      <c r="AD118" s="31">
        <f>SUM(AD83)</f>
        <v>90</v>
      </c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>
        <f>SUM(AQ83)</f>
        <v>111.1875</v>
      </c>
      <c r="AR118" s="31">
        <f>SUM(AR83)</f>
        <v>63.75</v>
      </c>
      <c r="AS118" s="31"/>
      <c r="BE118" s="61">
        <f t="shared" si="26"/>
        <v>2.5000000000545697E-3</v>
      </c>
    </row>
    <row r="119" spans="1:57" ht="12.75" customHeight="1" x14ac:dyDescent="0.3">
      <c r="A119" s="8">
        <v>4</v>
      </c>
      <c r="B119" s="241" t="s">
        <v>150</v>
      </c>
      <c r="C119" s="242">
        <v>458.65</v>
      </c>
      <c r="D119" s="238">
        <f t="shared" si="15"/>
        <v>-458.65</v>
      </c>
      <c r="E119" s="243" t="s">
        <v>149</v>
      </c>
      <c r="F119" s="240">
        <f t="shared" si="16"/>
        <v>105659.16500000002</v>
      </c>
      <c r="G119" s="77"/>
      <c r="H119" s="77">
        <v>7910</v>
      </c>
      <c r="I119" s="78">
        <f>C119</f>
        <v>458.65</v>
      </c>
      <c r="J119" s="77"/>
      <c r="K119" s="38"/>
      <c r="L119" s="7"/>
      <c r="U119" s="61"/>
      <c r="V119" s="63">
        <f>SUM(I119)</f>
        <v>458.65</v>
      </c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BE119" s="61">
        <f t="shared" si="26"/>
        <v>0</v>
      </c>
    </row>
    <row r="120" spans="1:57" ht="12.75" customHeight="1" x14ac:dyDescent="0.3">
      <c r="A120" s="135">
        <v>4</v>
      </c>
      <c r="B120" s="265" t="s">
        <v>157</v>
      </c>
      <c r="C120" s="272"/>
      <c r="D120" s="273">
        <v>40630.800000000003</v>
      </c>
      <c r="E120" s="268" t="s">
        <v>179</v>
      </c>
      <c r="F120" s="269">
        <f t="shared" si="16"/>
        <v>146289.96500000003</v>
      </c>
      <c r="G120" s="77"/>
      <c r="H120" s="77" t="s">
        <v>207</v>
      </c>
      <c r="I120" s="77" t="s">
        <v>207</v>
      </c>
      <c r="J120" s="77"/>
      <c r="K120" s="38"/>
      <c r="L120" s="7"/>
      <c r="U120" s="61"/>
      <c r="V120" s="63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BE120" s="61">
        <f t="shared" ref="BE120:BE127" si="28">SUM(U120:BD120)-C120</f>
        <v>0</v>
      </c>
    </row>
    <row r="121" spans="1:57" ht="12.75" customHeight="1" x14ac:dyDescent="0.3">
      <c r="A121" s="8">
        <v>4</v>
      </c>
      <c r="B121" s="241" t="s">
        <v>148</v>
      </c>
      <c r="C121" s="242">
        <v>150</v>
      </c>
      <c r="D121" s="238">
        <f t="shared" ref="D121:D174" si="29">SUM(C121*-1)</f>
        <v>-150</v>
      </c>
      <c r="E121" s="243" t="s">
        <v>147</v>
      </c>
      <c r="F121" s="240">
        <f t="shared" si="16"/>
        <v>146139.96500000003</v>
      </c>
      <c r="G121" s="77"/>
      <c r="H121" s="77">
        <v>7950</v>
      </c>
      <c r="I121" s="78">
        <f t="shared" ref="I121:I127" si="30">C121</f>
        <v>150</v>
      </c>
      <c r="J121" s="77"/>
      <c r="K121" s="38"/>
      <c r="L121" s="7"/>
      <c r="U121" s="61"/>
      <c r="V121" s="63"/>
      <c r="W121" s="31">
        <f>SUM(I121)</f>
        <v>150</v>
      </c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BE121" s="61">
        <f t="shared" si="28"/>
        <v>0</v>
      </c>
    </row>
    <row r="122" spans="1:57" ht="12.75" customHeight="1" x14ac:dyDescent="0.3">
      <c r="A122" s="8">
        <v>4</v>
      </c>
      <c r="B122" s="241" t="s">
        <v>146</v>
      </c>
      <c r="C122" s="242">
        <v>149.99</v>
      </c>
      <c r="D122" s="238">
        <f t="shared" si="29"/>
        <v>-149.99</v>
      </c>
      <c r="E122" s="243" t="s">
        <v>145</v>
      </c>
      <c r="F122" s="240">
        <f t="shared" si="16"/>
        <v>145989.97500000003</v>
      </c>
      <c r="G122" s="77"/>
      <c r="H122" s="77">
        <v>7950</v>
      </c>
      <c r="I122" s="78">
        <f t="shared" si="30"/>
        <v>149.99</v>
      </c>
      <c r="J122" s="77"/>
      <c r="K122" s="38"/>
      <c r="L122" s="7"/>
      <c r="U122" s="61"/>
      <c r="V122" s="63"/>
      <c r="W122" s="31">
        <f>SUM(I122)</f>
        <v>149.99</v>
      </c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BE122" s="61">
        <f t="shared" si="28"/>
        <v>0</v>
      </c>
    </row>
    <row r="123" spans="1:57" ht="12.75" customHeight="1" x14ac:dyDescent="0.3">
      <c r="A123" s="8">
        <v>4</v>
      </c>
      <c r="B123" s="241" t="s">
        <v>144</v>
      </c>
      <c r="C123" s="242">
        <v>300</v>
      </c>
      <c r="D123" s="238">
        <f t="shared" si="29"/>
        <v>-300</v>
      </c>
      <c r="E123" s="243" t="s">
        <v>138</v>
      </c>
      <c r="F123" s="240">
        <f t="shared" si="16"/>
        <v>145689.97500000003</v>
      </c>
      <c r="G123" s="77"/>
      <c r="H123" s="77">
        <v>7950</v>
      </c>
      <c r="I123" s="78">
        <f t="shared" si="30"/>
        <v>300</v>
      </c>
      <c r="J123" s="77"/>
      <c r="K123" s="38"/>
      <c r="L123" s="7"/>
      <c r="U123" s="61"/>
      <c r="V123" s="63"/>
      <c r="W123" s="31">
        <f>SUM(I123)</f>
        <v>300</v>
      </c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BE123" s="61">
        <f t="shared" si="28"/>
        <v>0</v>
      </c>
    </row>
    <row r="124" spans="1:57" ht="12.75" customHeight="1" x14ac:dyDescent="0.3">
      <c r="A124" s="8">
        <v>4</v>
      </c>
      <c r="B124" s="244" t="s">
        <v>143</v>
      </c>
      <c r="C124" s="242">
        <v>75</v>
      </c>
      <c r="D124" s="238">
        <f t="shared" si="29"/>
        <v>-75</v>
      </c>
      <c r="E124" s="243" t="s">
        <v>138</v>
      </c>
      <c r="F124" s="240">
        <f t="shared" si="16"/>
        <v>145614.97500000003</v>
      </c>
      <c r="G124" s="77"/>
      <c r="H124" s="77">
        <v>7950</v>
      </c>
      <c r="I124" s="78">
        <f t="shared" si="30"/>
        <v>75</v>
      </c>
      <c r="J124" s="77"/>
      <c r="K124" s="38"/>
      <c r="L124" s="7"/>
      <c r="U124" s="61"/>
      <c r="V124" s="63"/>
      <c r="W124" s="31">
        <f>SUM(I124)</f>
        <v>75</v>
      </c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BE124" s="61">
        <f t="shared" si="28"/>
        <v>0</v>
      </c>
    </row>
    <row r="125" spans="1:57" ht="12.75" customHeight="1" x14ac:dyDescent="0.3">
      <c r="A125" s="8">
        <v>4</v>
      </c>
      <c r="B125" s="241" t="s">
        <v>142</v>
      </c>
      <c r="C125" s="242">
        <v>2500</v>
      </c>
      <c r="D125" s="238">
        <f t="shared" si="29"/>
        <v>-2500</v>
      </c>
      <c r="E125" s="243" t="s">
        <v>140</v>
      </c>
      <c r="F125" s="240">
        <f t="shared" si="16"/>
        <v>143114.97500000003</v>
      </c>
      <c r="G125" s="77"/>
      <c r="H125" s="77">
        <v>5710</v>
      </c>
      <c r="I125" s="78">
        <f t="shared" si="30"/>
        <v>2500</v>
      </c>
      <c r="J125" s="77"/>
      <c r="K125" s="38"/>
      <c r="L125" s="7"/>
      <c r="U125" s="61"/>
      <c r="V125" s="63"/>
      <c r="W125" s="31"/>
      <c r="X125" s="31"/>
      <c r="Y125" s="31"/>
      <c r="Z125" s="31">
        <f>SUM(I125)</f>
        <v>2500</v>
      </c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BE125" s="61">
        <f t="shared" si="28"/>
        <v>0</v>
      </c>
    </row>
    <row r="126" spans="1:57" ht="12.75" customHeight="1" x14ac:dyDescent="0.3">
      <c r="A126" s="8">
        <v>4</v>
      </c>
      <c r="B126" s="241" t="s">
        <v>141</v>
      </c>
      <c r="C126" s="242">
        <v>1080</v>
      </c>
      <c r="D126" s="238">
        <f t="shared" si="29"/>
        <v>-1080</v>
      </c>
      <c r="E126" s="243" t="s">
        <v>140</v>
      </c>
      <c r="F126" s="240">
        <f t="shared" si="16"/>
        <v>142034.97500000003</v>
      </c>
      <c r="G126" s="77"/>
      <c r="H126" s="77">
        <v>6730</v>
      </c>
      <c r="I126" s="78">
        <f t="shared" si="30"/>
        <v>1080</v>
      </c>
      <c r="J126" s="77"/>
      <c r="K126" s="38"/>
      <c r="L126" s="7"/>
      <c r="U126" s="61"/>
      <c r="V126" s="63"/>
      <c r="W126" s="31"/>
      <c r="X126" s="31">
        <f>SUM(I126)</f>
        <v>1080</v>
      </c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BE126" s="61">
        <f t="shared" si="28"/>
        <v>0</v>
      </c>
    </row>
    <row r="127" spans="1:57" ht="12.75" customHeight="1" thickBot="1" x14ac:dyDescent="0.35">
      <c r="A127" s="215">
        <v>4</v>
      </c>
      <c r="B127" s="250" t="s">
        <v>348</v>
      </c>
      <c r="C127" s="251">
        <v>5000</v>
      </c>
      <c r="D127" s="252">
        <f t="shared" si="29"/>
        <v>-5000</v>
      </c>
      <c r="E127" s="253" t="s">
        <v>374</v>
      </c>
      <c r="F127" s="254">
        <f t="shared" si="16"/>
        <v>137034.97500000003</v>
      </c>
      <c r="G127" s="77"/>
      <c r="H127" s="77">
        <v>5130</v>
      </c>
      <c r="I127" s="78">
        <f t="shared" si="30"/>
        <v>5000</v>
      </c>
      <c r="J127" s="77"/>
      <c r="K127" s="38"/>
      <c r="L127" s="7"/>
      <c r="U127" s="100"/>
      <c r="V127" s="99"/>
      <c r="W127" s="99"/>
      <c r="X127" s="99"/>
      <c r="Y127" s="99"/>
      <c r="Z127" s="99"/>
      <c r="AA127" s="99">
        <f>SUM(I127)</f>
        <v>5000</v>
      </c>
      <c r="AB127" s="99"/>
      <c r="AC127" s="99"/>
      <c r="AD127" s="99"/>
      <c r="AE127" s="99"/>
      <c r="AF127" s="99"/>
      <c r="AG127" s="99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  <c r="AR127" s="99"/>
      <c r="AS127" s="99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100">
        <f t="shared" si="28"/>
        <v>0</v>
      </c>
    </row>
    <row r="128" spans="1:57" ht="12.75" customHeight="1" x14ac:dyDescent="0.3">
      <c r="B128" s="241"/>
      <c r="C128" s="242"/>
      <c r="D128" s="238"/>
      <c r="E128" s="245" t="s">
        <v>285</v>
      </c>
      <c r="F128" s="240">
        <f t="shared" si="16"/>
        <v>137034.97500000003</v>
      </c>
      <c r="G128" s="77"/>
      <c r="H128" s="77"/>
      <c r="I128" s="78"/>
      <c r="J128" s="77"/>
      <c r="K128" s="38"/>
      <c r="L128" s="7"/>
      <c r="U128" s="107">
        <f t="shared" ref="U128:BD128" si="31">SUM(U95:U127)</f>
        <v>294.95</v>
      </c>
      <c r="V128" s="108">
        <f t="shared" si="31"/>
        <v>708.65</v>
      </c>
      <c r="W128" s="108">
        <f t="shared" si="31"/>
        <v>779.72749999999996</v>
      </c>
      <c r="X128" s="108">
        <f t="shared" si="31"/>
        <v>1080</v>
      </c>
      <c r="Y128" s="108">
        <f t="shared" si="31"/>
        <v>778.6875</v>
      </c>
      <c r="Z128" s="108">
        <f t="shared" si="31"/>
        <v>2500</v>
      </c>
      <c r="AA128" s="108">
        <f t="shared" si="31"/>
        <v>7375</v>
      </c>
      <c r="AB128" s="108">
        <f t="shared" si="31"/>
        <v>7500</v>
      </c>
      <c r="AC128" s="108">
        <f t="shared" si="31"/>
        <v>2350</v>
      </c>
      <c r="AD128" s="108">
        <f t="shared" si="31"/>
        <v>1674</v>
      </c>
      <c r="AE128" s="108">
        <f t="shared" si="31"/>
        <v>8333</v>
      </c>
      <c r="AF128" s="108">
        <f t="shared" si="31"/>
        <v>150</v>
      </c>
      <c r="AG128" s="108">
        <f t="shared" si="31"/>
        <v>2020</v>
      </c>
      <c r="AH128" s="108">
        <f t="shared" si="31"/>
        <v>20000</v>
      </c>
      <c r="AI128" s="108">
        <f t="shared" si="31"/>
        <v>1500</v>
      </c>
      <c r="AJ128" s="108">
        <f t="shared" si="31"/>
        <v>3000</v>
      </c>
      <c r="AK128" s="108">
        <f t="shared" si="31"/>
        <v>250</v>
      </c>
      <c r="AL128" s="108">
        <f t="shared" si="31"/>
        <v>0</v>
      </c>
      <c r="AM128" s="108">
        <f t="shared" si="31"/>
        <v>200</v>
      </c>
      <c r="AN128" s="108">
        <f t="shared" si="31"/>
        <v>625</v>
      </c>
      <c r="AO128" s="108">
        <f t="shared" si="31"/>
        <v>0</v>
      </c>
      <c r="AP128" s="108">
        <f t="shared" si="31"/>
        <v>1833.35</v>
      </c>
      <c r="AQ128" s="108">
        <f t="shared" si="31"/>
        <v>111.1875</v>
      </c>
      <c r="AR128" s="108">
        <f t="shared" si="31"/>
        <v>63.75</v>
      </c>
      <c r="AS128" s="108">
        <f t="shared" si="31"/>
        <v>0</v>
      </c>
      <c r="AT128" s="108">
        <f t="shared" si="31"/>
        <v>0</v>
      </c>
      <c r="AU128" s="108">
        <f t="shared" si="31"/>
        <v>0</v>
      </c>
      <c r="AV128" s="108">
        <f t="shared" si="31"/>
        <v>0</v>
      </c>
      <c r="AW128" s="108">
        <f t="shared" si="31"/>
        <v>800</v>
      </c>
      <c r="AX128" s="108">
        <f t="shared" si="31"/>
        <v>0</v>
      </c>
      <c r="AY128" s="108">
        <f t="shared" si="31"/>
        <v>600</v>
      </c>
      <c r="AZ128" s="108">
        <f t="shared" si="31"/>
        <v>0</v>
      </c>
      <c r="BA128" s="108">
        <f t="shared" si="31"/>
        <v>0</v>
      </c>
      <c r="BB128" s="108">
        <f t="shared" si="31"/>
        <v>2375</v>
      </c>
      <c r="BC128" s="108">
        <f t="shared" si="31"/>
        <v>5000</v>
      </c>
      <c r="BD128" s="108">
        <f t="shared" si="31"/>
        <v>4340</v>
      </c>
      <c r="BE128" s="61"/>
    </row>
    <row r="129" spans="1:57" ht="12.75" customHeight="1" x14ac:dyDescent="0.3">
      <c r="A129" s="403">
        <v>5</v>
      </c>
      <c r="B129" s="398" t="s">
        <v>450</v>
      </c>
      <c r="C129" s="399">
        <f>SUM(C95)</f>
        <v>5000</v>
      </c>
      <c r="D129" s="400">
        <f t="shared" ref="D129" si="32">SUM(C129*-1)</f>
        <v>-5000</v>
      </c>
      <c r="E129" s="401" t="s">
        <v>390</v>
      </c>
      <c r="F129" s="402">
        <f t="shared" si="16"/>
        <v>132034.97500000003</v>
      </c>
      <c r="G129" s="77"/>
      <c r="H129" s="77"/>
      <c r="I129" s="78"/>
      <c r="J129" s="77"/>
      <c r="K129" s="38"/>
      <c r="L129" s="7"/>
      <c r="U129" s="61"/>
      <c r="V129" s="63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BC129" s="31">
        <f>SUM(C129)</f>
        <v>5000</v>
      </c>
      <c r="BE129" s="61">
        <f>SUM(U129:BD129)-C129</f>
        <v>0</v>
      </c>
    </row>
    <row r="130" spans="1:57" s="7" customFormat="1" ht="12.75" customHeight="1" x14ac:dyDescent="0.2">
      <c r="A130" s="42">
        <v>5</v>
      </c>
      <c r="B130" s="255" t="s">
        <v>177</v>
      </c>
      <c r="C130" s="256">
        <v>2000</v>
      </c>
      <c r="D130" s="257">
        <f t="shared" si="29"/>
        <v>-2000</v>
      </c>
      <c r="E130" s="259" t="s">
        <v>170</v>
      </c>
      <c r="F130" s="240">
        <f t="shared" si="16"/>
        <v>130034.97500000003</v>
      </c>
      <c r="G130" s="77"/>
      <c r="H130" s="77"/>
      <c r="I130" s="78"/>
      <c r="J130" s="77"/>
      <c r="K130" s="38"/>
      <c r="U130" s="61"/>
      <c r="V130" s="63"/>
      <c r="W130" s="31">
        <v>250</v>
      </c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BD130" s="63">
        <v>1750</v>
      </c>
      <c r="BE130" s="61">
        <f t="shared" ref="BE130:BE136" si="33">SUM(U130:BD130)-C130</f>
        <v>0</v>
      </c>
    </row>
    <row r="131" spans="1:57" s="7" customFormat="1" ht="12.75" customHeight="1" x14ac:dyDescent="0.2">
      <c r="A131" s="215">
        <v>5</v>
      </c>
      <c r="B131" s="479" t="s">
        <v>398</v>
      </c>
      <c r="C131" s="251">
        <v>2000</v>
      </c>
      <c r="D131" s="252">
        <f t="shared" si="29"/>
        <v>-2000</v>
      </c>
      <c r="E131" s="480" t="s">
        <v>397</v>
      </c>
      <c r="F131" s="254">
        <f t="shared" si="16"/>
        <v>128034.97500000003</v>
      </c>
      <c r="G131" s="77"/>
      <c r="H131" s="77"/>
      <c r="I131" s="78"/>
      <c r="J131" s="77"/>
      <c r="K131" s="38"/>
      <c r="U131" s="61"/>
      <c r="V131" s="63"/>
      <c r="W131" s="31"/>
      <c r="X131" s="31"/>
      <c r="Y131" s="31"/>
      <c r="Z131" s="31"/>
      <c r="AA131" s="31">
        <f>SUM(C131)</f>
        <v>2000</v>
      </c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BD131" s="63"/>
      <c r="BE131" s="61">
        <f t="shared" si="33"/>
        <v>0</v>
      </c>
    </row>
    <row r="132" spans="1:57" s="7" customFormat="1" ht="12.75" customHeight="1" x14ac:dyDescent="0.2">
      <c r="A132" s="215">
        <v>5</v>
      </c>
      <c r="B132" s="479" t="s">
        <v>401</v>
      </c>
      <c r="C132" s="251">
        <v>800</v>
      </c>
      <c r="D132" s="252">
        <f t="shared" si="29"/>
        <v>-800</v>
      </c>
      <c r="E132" s="480" t="s">
        <v>402</v>
      </c>
      <c r="F132" s="254">
        <f t="shared" si="16"/>
        <v>127234.97500000003</v>
      </c>
      <c r="G132" s="77"/>
      <c r="H132" s="77"/>
      <c r="I132" s="78"/>
      <c r="J132" s="77"/>
      <c r="K132" s="38"/>
      <c r="U132" s="61"/>
      <c r="V132" s="63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W132" s="31">
        <f>SUM(C132)</f>
        <v>800</v>
      </c>
      <c r="BD132" s="63"/>
      <c r="BE132" s="61">
        <f t="shared" si="33"/>
        <v>0</v>
      </c>
    </row>
    <row r="133" spans="1:57" s="7" customFormat="1" ht="12.75" customHeight="1" x14ac:dyDescent="0.2">
      <c r="A133" s="42">
        <v>5</v>
      </c>
      <c r="B133" s="255" t="s">
        <v>176</v>
      </c>
      <c r="C133" s="256">
        <v>7500</v>
      </c>
      <c r="D133" s="257">
        <f t="shared" si="29"/>
        <v>-7500</v>
      </c>
      <c r="E133" s="259" t="s">
        <v>170</v>
      </c>
      <c r="F133" s="478">
        <f t="shared" si="16"/>
        <v>119734.97500000003</v>
      </c>
      <c r="G133" s="77"/>
      <c r="H133" s="77">
        <v>5510</v>
      </c>
      <c r="I133" s="78">
        <f>C133</f>
        <v>7500</v>
      </c>
      <c r="J133" s="77"/>
      <c r="K133" s="38"/>
      <c r="U133" s="61"/>
      <c r="V133" s="63"/>
      <c r="W133" s="31"/>
      <c r="X133" s="31"/>
      <c r="Y133" s="31"/>
      <c r="Z133" s="31"/>
      <c r="AA133" s="31"/>
      <c r="AB133" s="31">
        <f>SUM(I133)</f>
        <v>7500</v>
      </c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BD133" s="62"/>
      <c r="BE133" s="61">
        <f t="shared" si="33"/>
        <v>0</v>
      </c>
    </row>
    <row r="134" spans="1:57" s="7" customFormat="1" ht="12.75" customHeight="1" x14ac:dyDescent="0.2">
      <c r="A134" s="215">
        <v>5</v>
      </c>
      <c r="B134" s="479" t="s">
        <v>413</v>
      </c>
      <c r="C134" s="251">
        <v>1200</v>
      </c>
      <c r="D134" s="252">
        <f t="shared" ref="D134" si="34">SUM(C134*-1)</f>
        <v>-1200</v>
      </c>
      <c r="E134" s="480" t="s">
        <v>414</v>
      </c>
      <c r="F134" s="254">
        <f t="shared" si="16"/>
        <v>118534.97500000003</v>
      </c>
      <c r="G134" s="77"/>
      <c r="H134" s="77"/>
      <c r="I134" s="78"/>
      <c r="J134" s="77"/>
      <c r="K134" s="38"/>
      <c r="U134" s="61"/>
      <c r="V134" s="63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Y134" s="31">
        <f>SUM(C134)</f>
        <v>1200</v>
      </c>
      <c r="AZ134" s="31"/>
      <c r="BA134" s="31"/>
      <c r="BD134" s="62"/>
      <c r="BE134" s="61">
        <f t="shared" si="33"/>
        <v>0</v>
      </c>
    </row>
    <row r="135" spans="1:57" s="7" customFormat="1" ht="12.75" customHeight="1" x14ac:dyDescent="0.2">
      <c r="A135" s="42">
        <v>5</v>
      </c>
      <c r="B135" s="255" t="s">
        <v>175</v>
      </c>
      <c r="C135" s="256">
        <v>550</v>
      </c>
      <c r="D135" s="257">
        <f t="shared" si="29"/>
        <v>-550</v>
      </c>
      <c r="E135" s="259" t="s">
        <v>170</v>
      </c>
      <c r="F135" s="478">
        <f t="shared" si="16"/>
        <v>117984.97500000003</v>
      </c>
      <c r="G135" s="77"/>
      <c r="H135" s="77">
        <v>7650</v>
      </c>
      <c r="I135" s="78">
        <f>C135</f>
        <v>550</v>
      </c>
      <c r="J135" s="77"/>
      <c r="K135" s="38"/>
      <c r="U135" s="61"/>
      <c r="V135" s="63"/>
      <c r="W135" s="31"/>
      <c r="X135" s="31"/>
      <c r="Y135" s="31"/>
      <c r="Z135" s="31"/>
      <c r="AA135" s="31"/>
      <c r="AB135" s="31"/>
      <c r="AC135" s="31">
        <f>SUM(I135)</f>
        <v>550</v>
      </c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BD135" s="62"/>
      <c r="BE135" s="61">
        <f t="shared" si="33"/>
        <v>0</v>
      </c>
    </row>
    <row r="136" spans="1:57" s="7" customFormat="1" ht="12.75" customHeight="1" x14ac:dyDescent="0.2">
      <c r="A136" s="42">
        <v>5</v>
      </c>
      <c r="B136" s="255" t="s">
        <v>174</v>
      </c>
      <c r="C136" s="256">
        <v>1800</v>
      </c>
      <c r="D136" s="257">
        <f t="shared" si="29"/>
        <v>-1800</v>
      </c>
      <c r="E136" s="259" t="s">
        <v>173</v>
      </c>
      <c r="F136" s="478">
        <f t="shared" si="16"/>
        <v>116184.97500000003</v>
      </c>
      <c r="G136" s="77"/>
      <c r="H136" s="77">
        <v>7650</v>
      </c>
      <c r="I136" s="78">
        <f>C136</f>
        <v>1800</v>
      </c>
      <c r="J136" s="77"/>
      <c r="K136" s="38"/>
      <c r="U136" s="61"/>
      <c r="V136" s="63"/>
      <c r="W136" s="31"/>
      <c r="X136" s="31"/>
      <c r="Y136" s="31"/>
      <c r="Z136" s="31"/>
      <c r="AA136" s="31"/>
      <c r="AB136" s="31"/>
      <c r="AC136" s="31">
        <f>SUM(I136)</f>
        <v>1800</v>
      </c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BD136" s="62"/>
      <c r="BE136" s="61">
        <f t="shared" si="33"/>
        <v>0</v>
      </c>
    </row>
    <row r="137" spans="1:57" s="7" customFormat="1" ht="12.75" customHeight="1" x14ac:dyDescent="0.2">
      <c r="A137" s="8">
        <v>5</v>
      </c>
      <c r="B137" s="241" t="s">
        <v>172</v>
      </c>
      <c r="C137" s="242">
        <v>9917</v>
      </c>
      <c r="D137" s="238">
        <f t="shared" si="29"/>
        <v>-9917</v>
      </c>
      <c r="E137" s="243" t="s">
        <v>170</v>
      </c>
      <c r="F137" s="478">
        <f t="shared" si="16"/>
        <v>106267.97500000003</v>
      </c>
      <c r="G137" s="77"/>
      <c r="H137" s="77">
        <v>5750</v>
      </c>
      <c r="I137" s="80">
        <v>1584</v>
      </c>
      <c r="J137" s="77">
        <v>5520</v>
      </c>
      <c r="K137" s="38">
        <v>8333</v>
      </c>
      <c r="U137" s="61"/>
      <c r="V137" s="63"/>
      <c r="W137" s="31"/>
      <c r="X137" s="31"/>
      <c r="Y137" s="31"/>
      <c r="Z137" s="31"/>
      <c r="AA137" s="31"/>
      <c r="AB137" s="31"/>
      <c r="AC137" s="31"/>
      <c r="AD137" s="31">
        <f>SUM(I137)</f>
        <v>1584</v>
      </c>
      <c r="AE137" s="31">
        <f>SUM(K137)</f>
        <v>8333</v>
      </c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BD137" s="62"/>
      <c r="BE137" s="61">
        <f>SUM(U137:BD137)-C137</f>
        <v>0</v>
      </c>
    </row>
    <row r="138" spans="1:57" s="7" customFormat="1" ht="12.75" customHeight="1" x14ac:dyDescent="0.2">
      <c r="A138" s="8">
        <v>5</v>
      </c>
      <c r="B138" s="241" t="s">
        <v>171</v>
      </c>
      <c r="C138" s="242">
        <v>34.950000000000003</v>
      </c>
      <c r="D138" s="238">
        <f t="shared" si="29"/>
        <v>-34.950000000000003</v>
      </c>
      <c r="E138" s="243" t="s">
        <v>170</v>
      </c>
      <c r="F138" s="240">
        <f t="shared" si="16"/>
        <v>106233.02500000004</v>
      </c>
      <c r="G138" s="77"/>
      <c r="H138" s="77">
        <v>7850</v>
      </c>
      <c r="I138" s="78">
        <f>C138</f>
        <v>34.950000000000003</v>
      </c>
      <c r="J138" s="77"/>
      <c r="K138" s="38"/>
      <c r="U138" s="61">
        <f>SUM(I138)</f>
        <v>34.950000000000003</v>
      </c>
      <c r="V138" s="63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BD138" s="62"/>
      <c r="BE138" s="61">
        <f>SUM(U138:BD138)-C138</f>
        <v>0</v>
      </c>
    </row>
    <row r="139" spans="1:57" s="7" customFormat="1" ht="12.75" customHeight="1" x14ac:dyDescent="0.2">
      <c r="A139" s="8">
        <v>5</v>
      </c>
      <c r="B139" s="241" t="s">
        <v>169</v>
      </c>
      <c r="C139" s="242">
        <v>150</v>
      </c>
      <c r="D139" s="238">
        <f t="shared" si="29"/>
        <v>-150</v>
      </c>
      <c r="E139" s="243" t="s">
        <v>168</v>
      </c>
      <c r="F139" s="240">
        <f t="shared" si="16"/>
        <v>106083.02500000004</v>
      </c>
      <c r="G139" s="77"/>
      <c r="H139" s="77">
        <v>7090</v>
      </c>
      <c r="I139" s="78">
        <f>C139</f>
        <v>150</v>
      </c>
      <c r="J139" s="77"/>
      <c r="K139" s="38"/>
      <c r="U139" s="61"/>
      <c r="V139" s="63"/>
      <c r="W139" s="31"/>
      <c r="X139" s="31"/>
      <c r="Y139" s="31"/>
      <c r="Z139" s="31"/>
      <c r="AA139" s="31"/>
      <c r="AB139" s="31"/>
      <c r="AC139" s="31"/>
      <c r="AD139" s="31"/>
      <c r="AE139" s="31"/>
      <c r="AF139" s="31">
        <f>SUM(I139)</f>
        <v>150</v>
      </c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BD139" s="62"/>
      <c r="BE139" s="61">
        <f>SUM(U139:BD139)-C139</f>
        <v>0</v>
      </c>
    </row>
    <row r="140" spans="1:57" ht="12.75" customHeight="1" x14ac:dyDescent="0.3">
      <c r="A140" s="8">
        <v>5</v>
      </c>
      <c r="B140" s="241" t="s">
        <v>155</v>
      </c>
      <c r="C140" s="242">
        <v>13385</v>
      </c>
      <c r="D140" s="238">
        <v>-13385</v>
      </c>
      <c r="E140" s="486" t="s">
        <v>167</v>
      </c>
      <c r="F140" s="240">
        <f t="shared" si="16"/>
        <v>92698.025000000038</v>
      </c>
      <c r="G140" s="77"/>
      <c r="H140" s="77">
        <v>8570</v>
      </c>
      <c r="I140" s="80">
        <v>1010</v>
      </c>
      <c r="J140" s="77" t="s">
        <v>207</v>
      </c>
      <c r="K140" s="38" t="s">
        <v>207</v>
      </c>
      <c r="L140" s="7">
        <v>8510</v>
      </c>
      <c r="M140" s="38">
        <v>10000</v>
      </c>
      <c r="N140" s="50">
        <v>8520</v>
      </c>
      <c r="O140" s="38">
        <v>750</v>
      </c>
      <c r="P140" s="50">
        <v>8530</v>
      </c>
      <c r="Q140" s="123">
        <v>1500</v>
      </c>
      <c r="R140" s="50">
        <v>8590</v>
      </c>
      <c r="S140" s="38">
        <v>125</v>
      </c>
      <c r="T140" s="51">
        <v>13385</v>
      </c>
      <c r="U140" s="61"/>
      <c r="V140" s="63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>
        <v>1010</v>
      </c>
      <c r="AH140" s="31">
        <v>10000</v>
      </c>
      <c r="AI140" s="31">
        <v>750</v>
      </c>
      <c r="AJ140" s="31">
        <v>1500</v>
      </c>
      <c r="AK140" s="31">
        <v>125</v>
      </c>
      <c r="AL140" s="31"/>
      <c r="AM140" s="31"/>
      <c r="AN140" s="31"/>
      <c r="AO140" s="31"/>
      <c r="AP140" s="31"/>
      <c r="AQ140" s="31"/>
      <c r="AR140" s="31"/>
      <c r="AS140" s="31"/>
      <c r="BE140" s="61">
        <v>0</v>
      </c>
    </row>
    <row r="141" spans="1:57" s="7" customFormat="1" ht="12.75" customHeight="1" x14ac:dyDescent="0.2">
      <c r="A141" s="8">
        <v>5</v>
      </c>
      <c r="B141" s="241" t="s">
        <v>153</v>
      </c>
      <c r="C141" s="242">
        <v>100</v>
      </c>
      <c r="D141" s="238">
        <f t="shared" si="29"/>
        <v>-100</v>
      </c>
      <c r="E141" s="243" t="s">
        <v>166</v>
      </c>
      <c r="F141" s="240">
        <f t="shared" si="16"/>
        <v>92598.025000000038</v>
      </c>
      <c r="G141" s="77"/>
      <c r="H141" s="77">
        <v>7850</v>
      </c>
      <c r="I141" s="78">
        <f>C141</f>
        <v>100</v>
      </c>
      <c r="J141" s="77"/>
      <c r="K141" s="38"/>
      <c r="U141" s="61">
        <f>SUM(I141)</f>
        <v>100</v>
      </c>
      <c r="V141" s="63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BD141" s="62"/>
      <c r="BE141" s="61">
        <f>SUM(U141:BD141)-C141</f>
        <v>0</v>
      </c>
    </row>
    <row r="142" spans="1:57" s="7" customFormat="1" ht="12.75" customHeight="1" x14ac:dyDescent="0.2">
      <c r="A142" s="8">
        <v>5</v>
      </c>
      <c r="B142" s="241" t="s">
        <v>165</v>
      </c>
      <c r="C142" s="242">
        <v>200</v>
      </c>
      <c r="D142" s="238">
        <f t="shared" si="29"/>
        <v>-200</v>
      </c>
      <c r="E142" s="243" t="s">
        <v>161</v>
      </c>
      <c r="F142" s="240">
        <f t="shared" si="16"/>
        <v>92398.025000000038</v>
      </c>
      <c r="G142" s="77"/>
      <c r="H142" s="77">
        <v>6770</v>
      </c>
      <c r="I142" s="78">
        <f>C142</f>
        <v>200</v>
      </c>
      <c r="J142" s="77"/>
      <c r="K142" s="38"/>
      <c r="U142" s="61"/>
      <c r="V142" s="63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>
        <f>SUM(I142)</f>
        <v>200</v>
      </c>
      <c r="AN142" s="31"/>
      <c r="AO142" s="31"/>
      <c r="AP142" s="31"/>
      <c r="AQ142" s="31"/>
      <c r="AR142" s="31"/>
      <c r="AS142" s="31"/>
      <c r="BD142" s="62"/>
      <c r="BE142" s="61">
        <f>SUM(U142:BD142)-C142</f>
        <v>0</v>
      </c>
    </row>
    <row r="143" spans="1:57" s="7" customFormat="1" ht="12.75" customHeight="1" x14ac:dyDescent="0.2">
      <c r="A143" s="8">
        <v>5</v>
      </c>
      <c r="B143" s="244" t="s">
        <v>164</v>
      </c>
      <c r="C143" s="242">
        <v>625</v>
      </c>
      <c r="D143" s="238">
        <f t="shared" si="29"/>
        <v>-625</v>
      </c>
      <c r="E143" s="243" t="s">
        <v>163</v>
      </c>
      <c r="F143" s="240">
        <f t="shared" si="16"/>
        <v>91773.025000000038</v>
      </c>
      <c r="G143" s="77"/>
      <c r="H143" s="77">
        <v>5540</v>
      </c>
      <c r="I143" s="78">
        <f>C143</f>
        <v>625</v>
      </c>
      <c r="J143" s="77"/>
      <c r="K143" s="38"/>
      <c r="U143" s="61"/>
      <c r="V143" s="63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>
        <f>SUM(I143)</f>
        <v>625</v>
      </c>
      <c r="AO143" s="31"/>
      <c r="AP143" s="31"/>
      <c r="AQ143" s="31"/>
      <c r="AR143" s="31"/>
      <c r="AS143" s="31"/>
      <c r="BD143" s="62"/>
      <c r="BE143" s="61">
        <f>SUM(U143:BD143)-C143</f>
        <v>0</v>
      </c>
    </row>
    <row r="144" spans="1:57" ht="12.75" customHeight="1" x14ac:dyDescent="0.3">
      <c r="A144" s="8">
        <v>5</v>
      </c>
      <c r="B144" s="241" t="s">
        <v>162</v>
      </c>
      <c r="C144" s="242">
        <v>60</v>
      </c>
      <c r="D144" s="238">
        <f t="shared" si="29"/>
        <v>-60</v>
      </c>
      <c r="E144" s="243" t="s">
        <v>161</v>
      </c>
      <c r="F144" s="240">
        <f t="shared" si="16"/>
        <v>91713.025000000038</v>
      </c>
      <c r="G144" s="77"/>
      <c r="H144" s="77">
        <v>7850</v>
      </c>
      <c r="I144" s="78">
        <f>C144</f>
        <v>60</v>
      </c>
      <c r="J144" s="77"/>
      <c r="K144" s="38"/>
      <c r="L144" s="7"/>
      <c r="U144" s="61">
        <f>SUM(I144)</f>
        <v>60</v>
      </c>
      <c r="V144" s="63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BE144" s="61">
        <f>SUM(U144:BD144)-C144</f>
        <v>0</v>
      </c>
    </row>
    <row r="145" spans="1:57" ht="12.75" customHeight="1" x14ac:dyDescent="0.3">
      <c r="A145" s="42">
        <v>5</v>
      </c>
      <c r="B145" s="274" t="s">
        <v>160</v>
      </c>
      <c r="C145" s="275">
        <v>1833.35</v>
      </c>
      <c r="D145" s="257">
        <f t="shared" si="29"/>
        <v>-1833.35</v>
      </c>
      <c r="E145" s="259" t="s">
        <v>159</v>
      </c>
      <c r="F145" s="240">
        <f t="shared" si="16"/>
        <v>89879.675000000032</v>
      </c>
      <c r="G145" s="79"/>
      <c r="H145" s="77">
        <v>6590</v>
      </c>
      <c r="I145" s="78">
        <f>C145</f>
        <v>1833.35</v>
      </c>
      <c r="J145" s="77"/>
      <c r="K145" s="38"/>
      <c r="L145" s="7"/>
      <c r="U145" s="61"/>
      <c r="V145" s="63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P145" s="31">
        <f>SUM(I145)</f>
        <v>1833.35</v>
      </c>
      <c r="AQ145" s="31"/>
      <c r="AR145" s="31"/>
      <c r="AS145" s="31"/>
      <c r="BE145" s="61">
        <f>SUM(U145:BD145)-C145</f>
        <v>0</v>
      </c>
    </row>
    <row r="146" spans="1:57" ht="12.75" customHeight="1" x14ac:dyDescent="0.3">
      <c r="A146" s="8">
        <v>5</v>
      </c>
      <c r="B146" s="241" t="s">
        <v>155</v>
      </c>
      <c r="C146" s="242">
        <v>13385</v>
      </c>
      <c r="D146" s="238">
        <v>-13385</v>
      </c>
      <c r="E146" s="486" t="s">
        <v>154</v>
      </c>
      <c r="F146" s="240">
        <f t="shared" si="16"/>
        <v>76494.675000000032</v>
      </c>
      <c r="G146" s="77"/>
      <c r="H146" s="77">
        <v>8570</v>
      </c>
      <c r="I146" s="80">
        <v>1010</v>
      </c>
      <c r="J146" s="77" t="s">
        <v>207</v>
      </c>
      <c r="K146" s="38" t="s">
        <v>207</v>
      </c>
      <c r="L146" s="7">
        <v>8510</v>
      </c>
      <c r="M146" s="38">
        <v>10000</v>
      </c>
      <c r="N146" s="50">
        <v>8520</v>
      </c>
      <c r="O146" s="38">
        <v>750</v>
      </c>
      <c r="P146" s="50">
        <v>8530</v>
      </c>
      <c r="Q146" s="123">
        <v>1500</v>
      </c>
      <c r="R146" s="50">
        <v>8590</v>
      </c>
      <c r="S146" s="38">
        <v>125</v>
      </c>
      <c r="T146" s="51">
        <v>13385</v>
      </c>
      <c r="U146" s="61"/>
      <c r="V146" s="63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>
        <v>1010</v>
      </c>
      <c r="AH146" s="31">
        <v>10000</v>
      </c>
      <c r="AI146" s="31">
        <v>750</v>
      </c>
      <c r="AJ146" s="31">
        <v>1500</v>
      </c>
      <c r="AK146" s="31">
        <v>125</v>
      </c>
      <c r="AL146" s="31"/>
      <c r="AM146" s="31"/>
      <c r="AN146" s="31"/>
      <c r="AO146" s="31"/>
      <c r="AP146" s="31"/>
      <c r="AQ146" s="31"/>
      <c r="AR146" s="31"/>
      <c r="AS146" s="31"/>
      <c r="BE146" s="61">
        <v>0</v>
      </c>
    </row>
    <row r="147" spans="1:57" ht="12.75" customHeight="1" x14ac:dyDescent="0.3">
      <c r="A147" s="8">
        <v>5</v>
      </c>
      <c r="B147" s="241" t="s">
        <v>153</v>
      </c>
      <c r="C147" s="242">
        <v>100</v>
      </c>
      <c r="D147" s="238">
        <f t="shared" si="29"/>
        <v>-100</v>
      </c>
      <c r="E147" s="243" t="s">
        <v>152</v>
      </c>
      <c r="F147" s="240">
        <f t="shared" si="16"/>
        <v>76394.675000000032</v>
      </c>
      <c r="G147" s="77"/>
      <c r="H147" s="77">
        <v>7850</v>
      </c>
      <c r="I147" s="78">
        <f>C147</f>
        <v>100</v>
      </c>
      <c r="J147" s="77"/>
      <c r="K147" s="38"/>
      <c r="L147" s="7"/>
      <c r="U147" s="61">
        <f>SUM(I147)</f>
        <v>100</v>
      </c>
      <c r="V147" s="63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BE147" s="61">
        <f t="shared" ref="BE147:BE156" si="35">SUM(U147:BD147)-C147</f>
        <v>0</v>
      </c>
    </row>
    <row r="148" spans="1:57" ht="12.75" customHeight="1" x14ac:dyDescent="0.3">
      <c r="A148" s="8">
        <v>5</v>
      </c>
      <c r="B148" s="244" t="s">
        <v>266</v>
      </c>
      <c r="C148" s="242">
        <v>1523.36</v>
      </c>
      <c r="D148" s="238">
        <f t="shared" si="29"/>
        <v>-1523.36</v>
      </c>
      <c r="E148" s="243" t="s">
        <v>268</v>
      </c>
      <c r="F148" s="240">
        <f t="shared" si="16"/>
        <v>74871.315000000031</v>
      </c>
      <c r="G148" s="77"/>
      <c r="H148" s="570" t="s">
        <v>264</v>
      </c>
      <c r="I148" s="570"/>
      <c r="J148" s="77"/>
      <c r="K148" s="38"/>
      <c r="L148" s="7"/>
      <c r="U148" s="61"/>
      <c r="V148" s="63"/>
      <c r="W148" s="31">
        <f>SUM(W118)</f>
        <v>104.73750000000001</v>
      </c>
      <c r="X148" s="31"/>
      <c r="Y148" s="31">
        <f>SUM(Y118)</f>
        <v>778.6875</v>
      </c>
      <c r="Z148" s="31"/>
      <c r="AA148" s="31">
        <f>SUM(AA118)</f>
        <v>375</v>
      </c>
      <c r="AB148" s="31"/>
      <c r="AC148" s="31"/>
      <c r="AD148" s="31">
        <f>SUM(AD118)</f>
        <v>90</v>
      </c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>
        <f>SUM(AQ118)</f>
        <v>111.1875</v>
      </c>
      <c r="AR148" s="31">
        <f>SUM(AR118)</f>
        <v>63.75</v>
      </c>
      <c r="AS148" s="31"/>
      <c r="BE148" s="61">
        <f t="shared" si="35"/>
        <v>2.5000000000545697E-3</v>
      </c>
    </row>
    <row r="149" spans="1:57" ht="12.75" customHeight="1" x14ac:dyDescent="0.3">
      <c r="A149" s="8">
        <v>5</v>
      </c>
      <c r="B149" s="241" t="s">
        <v>150</v>
      </c>
      <c r="C149" s="242">
        <v>458.65</v>
      </c>
      <c r="D149" s="238">
        <f t="shared" si="29"/>
        <v>-458.65</v>
      </c>
      <c r="E149" s="243" t="s">
        <v>149</v>
      </c>
      <c r="F149" s="240">
        <f t="shared" si="16"/>
        <v>74412.665000000037</v>
      </c>
      <c r="G149" s="77"/>
      <c r="H149" s="77">
        <v>7910</v>
      </c>
      <c r="I149" s="78">
        <f t="shared" ref="I149:I156" si="36">C149</f>
        <v>458.65</v>
      </c>
      <c r="J149" s="77"/>
      <c r="K149" s="38"/>
      <c r="L149" s="7"/>
      <c r="U149" s="61"/>
      <c r="V149" s="63">
        <f>SUM(I149)</f>
        <v>458.65</v>
      </c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BE149" s="61">
        <f t="shared" si="35"/>
        <v>0</v>
      </c>
    </row>
    <row r="150" spans="1:57" ht="12.75" customHeight="1" x14ac:dyDescent="0.3">
      <c r="A150" s="8">
        <v>5</v>
      </c>
      <c r="B150" s="241" t="s">
        <v>148</v>
      </c>
      <c r="C150" s="242">
        <v>150</v>
      </c>
      <c r="D150" s="238">
        <f t="shared" si="29"/>
        <v>-150</v>
      </c>
      <c r="E150" s="243" t="s">
        <v>147</v>
      </c>
      <c r="F150" s="240">
        <f t="shared" si="16"/>
        <v>74262.665000000037</v>
      </c>
      <c r="G150" s="77"/>
      <c r="H150" s="77">
        <v>7950</v>
      </c>
      <c r="I150" s="78">
        <f t="shared" si="36"/>
        <v>150</v>
      </c>
      <c r="J150" s="77"/>
      <c r="K150" s="38"/>
      <c r="L150" s="7"/>
      <c r="U150" s="61"/>
      <c r="V150" s="63"/>
      <c r="W150" s="31">
        <f>SUM(I150)</f>
        <v>150</v>
      </c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BE150" s="61">
        <f t="shared" si="35"/>
        <v>0</v>
      </c>
    </row>
    <row r="151" spans="1:57" ht="12.75" customHeight="1" x14ac:dyDescent="0.3">
      <c r="A151" s="8">
        <v>5</v>
      </c>
      <c r="B151" s="241" t="s">
        <v>146</v>
      </c>
      <c r="C151" s="242">
        <v>149.99</v>
      </c>
      <c r="D151" s="238">
        <f t="shared" si="29"/>
        <v>-149.99</v>
      </c>
      <c r="E151" s="243" t="s">
        <v>145</v>
      </c>
      <c r="F151" s="240">
        <f t="shared" ref="F151:F154" si="37">SUM(F150+D151)</f>
        <v>74112.675000000032</v>
      </c>
      <c r="G151" s="77"/>
      <c r="H151" s="77">
        <v>7950</v>
      </c>
      <c r="I151" s="78">
        <f t="shared" si="36"/>
        <v>149.99</v>
      </c>
      <c r="J151" s="77"/>
      <c r="K151" s="38"/>
      <c r="L151" s="7"/>
      <c r="U151" s="61"/>
      <c r="V151" s="63"/>
      <c r="W151" s="31">
        <f>SUM(I151)</f>
        <v>149.99</v>
      </c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BE151" s="61">
        <f t="shared" si="35"/>
        <v>0</v>
      </c>
    </row>
    <row r="152" spans="1:57" ht="12.75" customHeight="1" x14ac:dyDescent="0.3">
      <c r="A152" s="8">
        <v>5</v>
      </c>
      <c r="B152" s="241" t="s">
        <v>144</v>
      </c>
      <c r="C152" s="242">
        <v>300</v>
      </c>
      <c r="D152" s="238">
        <f t="shared" si="29"/>
        <v>-300</v>
      </c>
      <c r="E152" s="243" t="s">
        <v>138</v>
      </c>
      <c r="F152" s="240">
        <f t="shared" si="37"/>
        <v>73812.675000000032</v>
      </c>
      <c r="G152" s="77"/>
      <c r="H152" s="77">
        <v>7950</v>
      </c>
      <c r="I152" s="78">
        <f t="shared" si="36"/>
        <v>300</v>
      </c>
      <c r="J152" s="77"/>
      <c r="K152" s="38"/>
      <c r="L152" s="7"/>
      <c r="U152" s="61"/>
      <c r="V152" s="63"/>
      <c r="W152" s="31">
        <f>SUM(I152)</f>
        <v>300</v>
      </c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BE152" s="61">
        <f t="shared" si="35"/>
        <v>0</v>
      </c>
    </row>
    <row r="153" spans="1:57" ht="12.75" customHeight="1" x14ac:dyDescent="0.3">
      <c r="A153" s="8">
        <v>5</v>
      </c>
      <c r="B153" s="244" t="s">
        <v>143</v>
      </c>
      <c r="C153" s="242">
        <v>75</v>
      </c>
      <c r="D153" s="238">
        <f t="shared" si="29"/>
        <v>-75</v>
      </c>
      <c r="E153" s="243" t="s">
        <v>138</v>
      </c>
      <c r="F153" s="240">
        <f t="shared" si="37"/>
        <v>73737.675000000032</v>
      </c>
      <c r="G153" s="77"/>
      <c r="H153" s="77">
        <v>7950</v>
      </c>
      <c r="I153" s="78">
        <f t="shared" si="36"/>
        <v>75</v>
      </c>
      <c r="J153" s="77"/>
      <c r="K153" s="38"/>
      <c r="L153" s="7"/>
      <c r="U153" s="61"/>
      <c r="V153" s="63"/>
      <c r="W153" s="31">
        <f>SUM(I153)</f>
        <v>75</v>
      </c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BE153" s="61">
        <f t="shared" si="35"/>
        <v>0</v>
      </c>
    </row>
    <row r="154" spans="1:57" ht="12.75" customHeight="1" x14ac:dyDescent="0.3">
      <c r="A154" s="8">
        <v>5</v>
      </c>
      <c r="B154" s="241" t="s">
        <v>142</v>
      </c>
      <c r="C154" s="242">
        <v>2500</v>
      </c>
      <c r="D154" s="238">
        <f t="shared" si="29"/>
        <v>-2500</v>
      </c>
      <c r="E154" s="243" t="s">
        <v>140</v>
      </c>
      <c r="F154" s="240">
        <f t="shared" si="37"/>
        <v>71237.675000000032</v>
      </c>
      <c r="G154" s="77"/>
      <c r="H154" s="77">
        <v>5710</v>
      </c>
      <c r="I154" s="78">
        <f t="shared" si="36"/>
        <v>2500</v>
      </c>
      <c r="J154" s="77"/>
      <c r="K154" s="38"/>
      <c r="L154" s="7"/>
      <c r="U154" s="61"/>
      <c r="V154" s="63"/>
      <c r="W154" s="31"/>
      <c r="X154" s="31"/>
      <c r="Y154" s="31"/>
      <c r="Z154" s="31">
        <f>SUM(I154)</f>
        <v>2500</v>
      </c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BE154" s="61">
        <f t="shared" si="35"/>
        <v>0</v>
      </c>
    </row>
    <row r="155" spans="1:57" ht="12.75" customHeight="1" x14ac:dyDescent="0.3">
      <c r="A155" s="8">
        <v>5</v>
      </c>
      <c r="B155" s="241" t="s">
        <v>141</v>
      </c>
      <c r="C155" s="242">
        <v>1080</v>
      </c>
      <c r="D155" s="238">
        <f t="shared" si="29"/>
        <v>-1080</v>
      </c>
      <c r="E155" s="243" t="s">
        <v>140</v>
      </c>
      <c r="F155" s="240">
        <f t="shared" ref="F155:F190" si="38">SUM(F154+D155)</f>
        <v>70157.675000000032</v>
      </c>
      <c r="G155" s="77"/>
      <c r="H155" s="77">
        <v>6730</v>
      </c>
      <c r="I155" s="78">
        <f t="shared" si="36"/>
        <v>1080</v>
      </c>
      <c r="J155" s="77"/>
      <c r="K155" s="38"/>
      <c r="L155" s="7"/>
      <c r="U155" s="61"/>
      <c r="V155" s="63"/>
      <c r="W155" s="31"/>
      <c r="X155" s="31">
        <f>SUM(I155)</f>
        <v>1080</v>
      </c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BE155" s="61">
        <f t="shared" si="35"/>
        <v>0</v>
      </c>
    </row>
    <row r="156" spans="1:57" ht="12.75" customHeight="1" thickBot="1" x14ac:dyDescent="0.35">
      <c r="A156" s="215">
        <v>5</v>
      </c>
      <c r="B156" s="250" t="s">
        <v>348</v>
      </c>
      <c r="C156" s="251">
        <v>5000</v>
      </c>
      <c r="D156" s="252">
        <f t="shared" si="29"/>
        <v>-5000</v>
      </c>
      <c r="E156" s="253" t="s">
        <v>374</v>
      </c>
      <c r="F156" s="254">
        <f t="shared" si="38"/>
        <v>65157.675000000032</v>
      </c>
      <c r="G156" s="77"/>
      <c r="H156" s="77">
        <v>5130</v>
      </c>
      <c r="I156" s="78">
        <f t="shared" si="36"/>
        <v>5000</v>
      </c>
      <c r="J156" s="77"/>
      <c r="K156" s="38"/>
      <c r="L156" s="7"/>
      <c r="U156" s="100"/>
      <c r="V156" s="99"/>
      <c r="W156" s="99"/>
      <c r="X156" s="99"/>
      <c r="Y156" s="99"/>
      <c r="Z156" s="99"/>
      <c r="AA156" s="99">
        <f>SUM(I156)</f>
        <v>5000</v>
      </c>
      <c r="AB156" s="99"/>
      <c r="AC156" s="99"/>
      <c r="AD156" s="99"/>
      <c r="AE156" s="99"/>
      <c r="AF156" s="99"/>
      <c r="AG156" s="99"/>
      <c r="AH156" s="99"/>
      <c r="AI156" s="99"/>
      <c r="AJ156" s="99"/>
      <c r="AK156" s="99"/>
      <c r="AL156" s="99"/>
      <c r="AM156" s="99"/>
      <c r="AN156" s="99"/>
      <c r="AO156" s="99"/>
      <c r="AP156" s="99"/>
      <c r="AQ156" s="99"/>
      <c r="AR156" s="99"/>
      <c r="AS156" s="99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100">
        <f t="shared" si="35"/>
        <v>0</v>
      </c>
    </row>
    <row r="157" spans="1:57" ht="12.75" customHeight="1" x14ac:dyDescent="0.3">
      <c r="B157" s="241"/>
      <c r="C157" s="242"/>
      <c r="D157" s="238"/>
      <c r="E157" s="245" t="s">
        <v>286</v>
      </c>
      <c r="F157" s="240">
        <f t="shared" si="38"/>
        <v>65157.675000000032</v>
      </c>
      <c r="G157" s="77"/>
      <c r="H157" s="77"/>
      <c r="I157" s="78"/>
      <c r="J157" s="77"/>
      <c r="K157" s="38"/>
      <c r="L157" s="7"/>
      <c r="U157" s="107">
        <f t="shared" ref="U157:BD157" si="39">SUM(U129:U156)</f>
        <v>294.95</v>
      </c>
      <c r="V157" s="108">
        <f t="shared" si="39"/>
        <v>458.65</v>
      </c>
      <c r="W157" s="108">
        <f t="shared" si="39"/>
        <v>1029.7275</v>
      </c>
      <c r="X157" s="108">
        <f t="shared" si="39"/>
        <v>1080</v>
      </c>
      <c r="Y157" s="108">
        <f t="shared" si="39"/>
        <v>778.6875</v>
      </c>
      <c r="Z157" s="108">
        <f t="shared" si="39"/>
        <v>2500</v>
      </c>
      <c r="AA157" s="108">
        <f t="shared" si="39"/>
        <v>7375</v>
      </c>
      <c r="AB157" s="108">
        <f t="shared" si="39"/>
        <v>7500</v>
      </c>
      <c r="AC157" s="108">
        <f t="shared" si="39"/>
        <v>2350</v>
      </c>
      <c r="AD157" s="108">
        <f t="shared" si="39"/>
        <v>1674</v>
      </c>
      <c r="AE157" s="108">
        <f t="shared" si="39"/>
        <v>8333</v>
      </c>
      <c r="AF157" s="108">
        <f t="shared" si="39"/>
        <v>150</v>
      </c>
      <c r="AG157" s="108">
        <f t="shared" si="39"/>
        <v>2020</v>
      </c>
      <c r="AH157" s="108">
        <f t="shared" si="39"/>
        <v>20000</v>
      </c>
      <c r="AI157" s="108">
        <f t="shared" si="39"/>
        <v>1500</v>
      </c>
      <c r="AJ157" s="108">
        <f t="shared" si="39"/>
        <v>3000</v>
      </c>
      <c r="AK157" s="108">
        <f t="shared" si="39"/>
        <v>250</v>
      </c>
      <c r="AL157" s="108">
        <f t="shared" si="39"/>
        <v>0</v>
      </c>
      <c r="AM157" s="108">
        <f t="shared" si="39"/>
        <v>200</v>
      </c>
      <c r="AN157" s="108">
        <f t="shared" si="39"/>
        <v>625</v>
      </c>
      <c r="AO157" s="108">
        <f t="shared" si="39"/>
        <v>0</v>
      </c>
      <c r="AP157" s="108">
        <f t="shared" si="39"/>
        <v>1833.35</v>
      </c>
      <c r="AQ157" s="108">
        <f t="shared" si="39"/>
        <v>111.1875</v>
      </c>
      <c r="AR157" s="108">
        <f t="shared" si="39"/>
        <v>63.75</v>
      </c>
      <c r="AS157" s="108">
        <f t="shared" si="39"/>
        <v>0</v>
      </c>
      <c r="AT157" s="108">
        <f t="shared" si="39"/>
        <v>0</v>
      </c>
      <c r="AU157" s="108">
        <f t="shared" si="39"/>
        <v>0</v>
      </c>
      <c r="AV157" s="108">
        <f t="shared" si="39"/>
        <v>0</v>
      </c>
      <c r="AW157" s="108">
        <f t="shared" si="39"/>
        <v>800</v>
      </c>
      <c r="AX157" s="108">
        <f t="shared" si="39"/>
        <v>0</v>
      </c>
      <c r="AY157" s="108">
        <f t="shared" si="39"/>
        <v>1200</v>
      </c>
      <c r="AZ157" s="108">
        <f t="shared" si="39"/>
        <v>0</v>
      </c>
      <c r="BA157" s="108">
        <f t="shared" si="39"/>
        <v>0</v>
      </c>
      <c r="BB157" s="108">
        <f t="shared" si="39"/>
        <v>0</v>
      </c>
      <c r="BC157" s="108">
        <f t="shared" si="39"/>
        <v>5000</v>
      </c>
      <c r="BD157" s="108">
        <f t="shared" si="39"/>
        <v>1750</v>
      </c>
      <c r="BE157" s="61"/>
    </row>
    <row r="158" spans="1:57" ht="12.75" customHeight="1" x14ac:dyDescent="0.3">
      <c r="A158" s="403">
        <v>6</v>
      </c>
      <c r="B158" s="398" t="s">
        <v>450</v>
      </c>
      <c r="C158" s="399">
        <f>SUM(C129)</f>
        <v>5000</v>
      </c>
      <c r="D158" s="400">
        <f t="shared" ref="D158" si="40">SUM(C158*-1)</f>
        <v>-5000</v>
      </c>
      <c r="E158" s="401" t="s">
        <v>390</v>
      </c>
      <c r="F158" s="402">
        <f t="shared" si="38"/>
        <v>60157.675000000032</v>
      </c>
      <c r="G158" s="77"/>
      <c r="H158" s="77"/>
      <c r="I158" s="78"/>
      <c r="J158" s="77"/>
      <c r="K158" s="38"/>
      <c r="L158" s="7"/>
      <c r="U158" s="61"/>
      <c r="V158" s="63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BC158" s="31">
        <f>SUM(C158)</f>
        <v>5000</v>
      </c>
      <c r="BE158" s="61">
        <f>SUM(U158:BD158)-C158</f>
        <v>0</v>
      </c>
    </row>
    <row r="159" spans="1:57" ht="12.75" customHeight="1" x14ac:dyDescent="0.3">
      <c r="A159" s="8">
        <v>6</v>
      </c>
      <c r="B159" s="241" t="s">
        <v>177</v>
      </c>
      <c r="C159" s="242">
        <v>2000</v>
      </c>
      <c r="D159" s="238">
        <f t="shared" si="29"/>
        <v>-2000</v>
      </c>
      <c r="E159" s="243" t="s">
        <v>170</v>
      </c>
      <c r="F159" s="240">
        <f t="shared" si="38"/>
        <v>58157.675000000032</v>
      </c>
      <c r="G159" s="83"/>
      <c r="H159" s="77"/>
      <c r="I159" s="78"/>
      <c r="J159" s="77"/>
      <c r="K159" s="38"/>
      <c r="L159" s="7"/>
      <c r="U159" s="61"/>
      <c r="V159" s="63"/>
      <c r="W159" s="31">
        <v>250</v>
      </c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BD159" s="63">
        <v>1750</v>
      </c>
      <c r="BE159" s="61">
        <f t="shared" ref="BE159:BE173" si="41">SUM(U159:BD159)-C159</f>
        <v>0</v>
      </c>
    </row>
    <row r="160" spans="1:57" ht="12.75" customHeight="1" x14ac:dyDescent="0.3">
      <c r="A160" s="215">
        <v>6</v>
      </c>
      <c r="B160" s="479" t="s">
        <v>398</v>
      </c>
      <c r="C160" s="251">
        <v>2000</v>
      </c>
      <c r="D160" s="252">
        <f t="shared" si="29"/>
        <v>-2000</v>
      </c>
      <c r="E160" s="480" t="s">
        <v>397</v>
      </c>
      <c r="F160" s="254">
        <f t="shared" si="38"/>
        <v>56157.675000000032</v>
      </c>
      <c r="G160" s="83"/>
      <c r="H160" s="77"/>
      <c r="I160" s="78"/>
      <c r="J160" s="77"/>
      <c r="K160" s="38"/>
      <c r="L160" s="7"/>
      <c r="U160" s="61"/>
      <c r="V160" s="63"/>
      <c r="W160" s="31"/>
      <c r="X160" s="31"/>
      <c r="Y160" s="31"/>
      <c r="Z160" s="31"/>
      <c r="AA160" s="31">
        <f>SUM(C160)</f>
        <v>2000</v>
      </c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BD160" s="63"/>
      <c r="BE160" s="61">
        <f t="shared" si="41"/>
        <v>0</v>
      </c>
    </row>
    <row r="161" spans="1:57" ht="12.75" customHeight="1" x14ac:dyDescent="0.3">
      <c r="A161" s="215">
        <v>6</v>
      </c>
      <c r="B161" s="479" t="s">
        <v>401</v>
      </c>
      <c r="C161" s="251">
        <v>800</v>
      </c>
      <c r="D161" s="252">
        <f t="shared" si="29"/>
        <v>-800</v>
      </c>
      <c r="E161" s="480" t="s">
        <v>402</v>
      </c>
      <c r="F161" s="254">
        <f t="shared" si="38"/>
        <v>55357.675000000032</v>
      </c>
      <c r="G161" s="83"/>
      <c r="H161" s="77"/>
      <c r="I161" s="78"/>
      <c r="J161" s="77"/>
      <c r="K161" s="38"/>
      <c r="L161" s="7"/>
      <c r="U161" s="61"/>
      <c r="V161" s="63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W161" s="31">
        <f>SUM(C161)</f>
        <v>800</v>
      </c>
      <c r="BD161" s="63"/>
      <c r="BE161" s="61">
        <f t="shared" si="41"/>
        <v>0</v>
      </c>
    </row>
    <row r="162" spans="1:57" ht="12.75" customHeight="1" x14ac:dyDescent="0.3">
      <c r="A162" s="8">
        <v>6</v>
      </c>
      <c r="B162" s="241" t="s">
        <v>176</v>
      </c>
      <c r="C162" s="242">
        <v>7500</v>
      </c>
      <c r="D162" s="238">
        <f t="shared" si="29"/>
        <v>-7500</v>
      </c>
      <c r="E162" s="243" t="s">
        <v>170</v>
      </c>
      <c r="F162" s="478">
        <f t="shared" si="38"/>
        <v>47857.675000000032</v>
      </c>
      <c r="G162" s="83"/>
      <c r="H162" s="77">
        <v>5510</v>
      </c>
      <c r="I162" s="78">
        <f>C162</f>
        <v>7500</v>
      </c>
      <c r="J162" s="77"/>
      <c r="K162" s="38"/>
      <c r="L162" s="7"/>
      <c r="U162" s="61"/>
      <c r="V162" s="63"/>
      <c r="W162" s="31"/>
      <c r="X162" s="31"/>
      <c r="Y162" s="31"/>
      <c r="Z162" s="31"/>
      <c r="AA162" s="31"/>
      <c r="AB162" s="31">
        <f>SUM(I162)</f>
        <v>7500</v>
      </c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BE162" s="61">
        <f t="shared" si="41"/>
        <v>0</v>
      </c>
    </row>
    <row r="163" spans="1:57" ht="12.75" customHeight="1" x14ac:dyDescent="0.3">
      <c r="A163" s="8">
        <v>6</v>
      </c>
      <c r="B163" s="241" t="s">
        <v>175</v>
      </c>
      <c r="C163" s="242">
        <v>550</v>
      </c>
      <c r="D163" s="238">
        <f t="shared" si="29"/>
        <v>-550</v>
      </c>
      <c r="E163" s="243" t="s">
        <v>170</v>
      </c>
      <c r="F163" s="240">
        <f t="shared" si="38"/>
        <v>47307.675000000032</v>
      </c>
      <c r="G163" s="83"/>
      <c r="H163" s="77">
        <v>7650</v>
      </c>
      <c r="I163" s="78">
        <f>C163</f>
        <v>550</v>
      </c>
      <c r="J163" s="77"/>
      <c r="K163" s="38"/>
      <c r="L163" s="7"/>
      <c r="U163" s="61"/>
      <c r="V163" s="63"/>
      <c r="W163" s="31"/>
      <c r="X163" s="31"/>
      <c r="Y163" s="31"/>
      <c r="Z163" s="31"/>
      <c r="AA163" s="31"/>
      <c r="AB163" s="31"/>
      <c r="AC163" s="31">
        <f>SUM(I163)</f>
        <v>550</v>
      </c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BE163" s="61">
        <f t="shared" si="41"/>
        <v>0</v>
      </c>
    </row>
    <row r="164" spans="1:57" ht="12.75" customHeight="1" x14ac:dyDescent="0.3">
      <c r="A164" s="8">
        <v>6</v>
      </c>
      <c r="B164" s="241" t="s">
        <v>174</v>
      </c>
      <c r="C164" s="242">
        <v>1800</v>
      </c>
      <c r="D164" s="238">
        <f t="shared" si="29"/>
        <v>-1800</v>
      </c>
      <c r="E164" s="243" t="s">
        <v>173</v>
      </c>
      <c r="F164" s="240">
        <f t="shared" si="38"/>
        <v>45507.675000000032</v>
      </c>
      <c r="G164" s="83"/>
      <c r="H164" s="77">
        <v>7650</v>
      </c>
      <c r="I164" s="78">
        <f>C164</f>
        <v>1800</v>
      </c>
      <c r="J164" s="77"/>
      <c r="K164" s="38"/>
      <c r="L164" s="7"/>
      <c r="U164" s="61"/>
      <c r="V164" s="63"/>
      <c r="W164" s="31"/>
      <c r="X164" s="31"/>
      <c r="Y164" s="31"/>
      <c r="Z164" s="31"/>
      <c r="AA164" s="31"/>
      <c r="AB164" s="31"/>
      <c r="AC164" s="31">
        <f>SUM(I164)</f>
        <v>1800</v>
      </c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BE164" s="61">
        <f t="shared" si="41"/>
        <v>0</v>
      </c>
    </row>
    <row r="165" spans="1:57" ht="12.75" customHeight="1" x14ac:dyDescent="0.3">
      <c r="A165" s="42">
        <v>6</v>
      </c>
      <c r="B165" s="255" t="s">
        <v>172</v>
      </c>
      <c r="C165" s="256">
        <v>9917</v>
      </c>
      <c r="D165" s="257">
        <f t="shared" si="29"/>
        <v>-9917</v>
      </c>
      <c r="E165" s="259" t="s">
        <v>359</v>
      </c>
      <c r="F165" s="240">
        <f t="shared" si="38"/>
        <v>35590.675000000032</v>
      </c>
      <c r="G165" s="83"/>
      <c r="H165" s="77">
        <v>5750</v>
      </c>
      <c r="I165" s="80">
        <v>1584</v>
      </c>
      <c r="J165" s="77">
        <v>5520</v>
      </c>
      <c r="K165" s="38">
        <v>8333</v>
      </c>
      <c r="L165" s="7"/>
      <c r="U165" s="61"/>
      <c r="V165" s="63"/>
      <c r="W165" s="31"/>
      <c r="X165" s="31"/>
      <c r="Y165" s="31"/>
      <c r="Z165" s="31"/>
      <c r="AA165" s="31"/>
      <c r="AB165" s="31"/>
      <c r="AC165" s="31"/>
      <c r="AD165" s="31">
        <f>SUM(I165)</f>
        <v>1584</v>
      </c>
      <c r="AE165" s="31">
        <f>SUM(K165)</f>
        <v>8333</v>
      </c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BE165" s="61">
        <f t="shared" si="41"/>
        <v>0</v>
      </c>
    </row>
    <row r="166" spans="1:57" ht="12.75" customHeight="1" x14ac:dyDescent="0.3">
      <c r="A166" s="8">
        <v>6</v>
      </c>
      <c r="B166" s="241" t="s">
        <v>171</v>
      </c>
      <c r="C166" s="242">
        <v>34.950000000000003</v>
      </c>
      <c r="D166" s="238">
        <f t="shared" si="29"/>
        <v>-34.950000000000003</v>
      </c>
      <c r="E166" s="243" t="s">
        <v>170</v>
      </c>
      <c r="F166" s="240">
        <f t="shared" si="38"/>
        <v>35555.725000000035</v>
      </c>
      <c r="G166" s="83"/>
      <c r="H166" s="77">
        <v>7850</v>
      </c>
      <c r="I166" s="78">
        <f>C166</f>
        <v>34.950000000000003</v>
      </c>
      <c r="J166" s="77"/>
      <c r="K166" s="38"/>
      <c r="L166" s="7"/>
      <c r="U166" s="61">
        <f>SUM(I166)</f>
        <v>34.950000000000003</v>
      </c>
      <c r="V166" s="63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BE166" s="61">
        <f t="shared" si="41"/>
        <v>0</v>
      </c>
    </row>
    <row r="167" spans="1:57" ht="12.75" customHeight="1" x14ac:dyDescent="0.3">
      <c r="A167" s="8">
        <v>6</v>
      </c>
      <c r="B167" s="241" t="s">
        <v>169</v>
      </c>
      <c r="C167" s="242">
        <v>150</v>
      </c>
      <c r="D167" s="238">
        <f t="shared" si="29"/>
        <v>-150</v>
      </c>
      <c r="E167" s="243" t="s">
        <v>168</v>
      </c>
      <c r="F167" s="240">
        <f t="shared" si="38"/>
        <v>35405.725000000035</v>
      </c>
      <c r="G167" s="83"/>
      <c r="H167" s="77">
        <v>7090</v>
      </c>
      <c r="I167" s="78">
        <f>C167</f>
        <v>150</v>
      </c>
      <c r="J167" s="77"/>
      <c r="K167" s="38"/>
      <c r="L167" s="7"/>
      <c r="U167" s="61"/>
      <c r="V167" s="63"/>
      <c r="W167" s="31"/>
      <c r="X167" s="31"/>
      <c r="Y167" s="31"/>
      <c r="Z167" s="31"/>
      <c r="AA167" s="31"/>
      <c r="AB167" s="31"/>
      <c r="AC167" s="31"/>
      <c r="AD167" s="31"/>
      <c r="AE167" s="31"/>
      <c r="AF167" s="31">
        <f>SUM(I167)</f>
        <v>150</v>
      </c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BE167" s="61">
        <f t="shared" si="41"/>
        <v>0</v>
      </c>
    </row>
    <row r="168" spans="1:57" ht="12.75" customHeight="1" x14ac:dyDescent="0.3">
      <c r="A168" s="129">
        <v>6</v>
      </c>
      <c r="B168" s="260" t="s">
        <v>155</v>
      </c>
      <c r="C168" s="261">
        <v>13385</v>
      </c>
      <c r="D168" s="262">
        <v>-13385</v>
      </c>
      <c r="E168" s="487" t="s">
        <v>167</v>
      </c>
      <c r="F168" s="264">
        <f t="shared" si="38"/>
        <v>22020.725000000035</v>
      </c>
      <c r="G168" s="77"/>
      <c r="H168" s="77">
        <v>8570</v>
      </c>
      <c r="I168" s="80">
        <v>1010</v>
      </c>
      <c r="J168" s="77" t="s">
        <v>207</v>
      </c>
      <c r="K168" s="38" t="s">
        <v>207</v>
      </c>
      <c r="L168" s="7">
        <v>8510</v>
      </c>
      <c r="M168" s="38">
        <v>10000</v>
      </c>
      <c r="N168" s="50">
        <v>8520</v>
      </c>
      <c r="O168" s="38">
        <v>750</v>
      </c>
      <c r="P168" s="50">
        <v>8530</v>
      </c>
      <c r="Q168" s="123">
        <v>1500</v>
      </c>
      <c r="R168" s="50">
        <v>8590</v>
      </c>
      <c r="S168" s="38">
        <v>125</v>
      </c>
      <c r="T168" s="51">
        <v>13385</v>
      </c>
      <c r="U168" s="61"/>
      <c r="V168" s="63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>
        <v>1010</v>
      </c>
      <c r="AH168" s="31">
        <v>10000</v>
      </c>
      <c r="AI168" s="31">
        <v>750</v>
      </c>
      <c r="AJ168" s="31">
        <v>1500</v>
      </c>
      <c r="AK168" s="31">
        <v>125</v>
      </c>
      <c r="AL168" s="31"/>
      <c r="AM168" s="31"/>
      <c r="AN168" s="31"/>
      <c r="AO168" s="31"/>
      <c r="AP168" s="31"/>
      <c r="AQ168" s="31"/>
      <c r="AR168" s="31"/>
      <c r="AS168" s="31"/>
      <c r="BE168" s="61">
        <f t="shared" si="41"/>
        <v>0</v>
      </c>
    </row>
    <row r="169" spans="1:57" ht="12.75" customHeight="1" x14ac:dyDescent="0.3">
      <c r="A169" s="8">
        <v>6</v>
      </c>
      <c r="B169" s="241" t="s">
        <v>153</v>
      </c>
      <c r="C169" s="242">
        <v>100</v>
      </c>
      <c r="D169" s="238">
        <f t="shared" si="29"/>
        <v>-100</v>
      </c>
      <c r="E169" s="243" t="s">
        <v>166</v>
      </c>
      <c r="F169" s="240">
        <f t="shared" si="38"/>
        <v>21920.725000000035</v>
      </c>
      <c r="G169" s="83"/>
      <c r="H169" s="77">
        <v>7850</v>
      </c>
      <c r="I169" s="78">
        <f>C169</f>
        <v>100</v>
      </c>
      <c r="J169" s="77"/>
      <c r="K169" s="38"/>
      <c r="L169" s="7"/>
      <c r="U169" s="61">
        <f>SUM(I169)</f>
        <v>100</v>
      </c>
      <c r="V169" s="63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BE169" s="61">
        <f t="shared" si="41"/>
        <v>0</v>
      </c>
    </row>
    <row r="170" spans="1:57" ht="12.75" customHeight="1" x14ac:dyDescent="0.3">
      <c r="A170" s="215">
        <v>6</v>
      </c>
      <c r="B170" s="479" t="s">
        <v>426</v>
      </c>
      <c r="C170" s="251">
        <v>600</v>
      </c>
      <c r="D170" s="252">
        <f t="shared" si="29"/>
        <v>-600</v>
      </c>
      <c r="E170" s="480" t="s">
        <v>427</v>
      </c>
      <c r="F170" s="254">
        <f t="shared" si="38"/>
        <v>21320.725000000035</v>
      </c>
      <c r="G170" s="83"/>
      <c r="H170" s="77"/>
      <c r="I170" s="78"/>
      <c r="J170" s="77"/>
      <c r="K170" s="38"/>
      <c r="L170" s="7"/>
      <c r="U170" s="61"/>
      <c r="V170" s="63"/>
      <c r="W170" s="31"/>
      <c r="X170" s="31"/>
      <c r="Y170" s="31"/>
      <c r="Z170" s="31"/>
      <c r="AA170" s="31"/>
      <c r="AB170" s="31">
        <f>SUM(C170)</f>
        <v>600</v>
      </c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BE170" s="61">
        <f t="shared" si="41"/>
        <v>0</v>
      </c>
    </row>
    <row r="171" spans="1:57" ht="12.75" customHeight="1" x14ac:dyDescent="0.3">
      <c r="A171" s="8">
        <v>6</v>
      </c>
      <c r="B171" s="241" t="s">
        <v>165</v>
      </c>
      <c r="C171" s="242">
        <v>200</v>
      </c>
      <c r="D171" s="238">
        <f t="shared" si="29"/>
        <v>-200</v>
      </c>
      <c r="E171" s="243" t="s">
        <v>161</v>
      </c>
      <c r="F171" s="240">
        <f t="shared" si="38"/>
        <v>21120.725000000035</v>
      </c>
      <c r="G171" s="83"/>
      <c r="H171" s="77">
        <v>6770</v>
      </c>
      <c r="I171" s="78">
        <f>C171</f>
        <v>200</v>
      </c>
      <c r="J171" s="77"/>
      <c r="K171" s="38"/>
      <c r="L171" s="7"/>
      <c r="U171" s="61"/>
      <c r="V171" s="63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>
        <f>SUM(I171)</f>
        <v>200</v>
      </c>
      <c r="AN171" s="31"/>
      <c r="AO171" s="31"/>
      <c r="AP171" s="31"/>
      <c r="AQ171" s="31"/>
      <c r="AR171" s="31"/>
      <c r="AS171" s="31"/>
      <c r="BE171" s="61">
        <f t="shared" si="41"/>
        <v>0</v>
      </c>
    </row>
    <row r="172" spans="1:57" ht="12.75" customHeight="1" x14ac:dyDescent="0.3">
      <c r="A172" s="8">
        <v>6</v>
      </c>
      <c r="B172" s="244" t="s">
        <v>164</v>
      </c>
      <c r="C172" s="242">
        <v>625</v>
      </c>
      <c r="D172" s="238">
        <f t="shared" si="29"/>
        <v>-625</v>
      </c>
      <c r="E172" s="243" t="s">
        <v>163</v>
      </c>
      <c r="F172" s="240">
        <f t="shared" si="38"/>
        <v>20495.725000000035</v>
      </c>
      <c r="G172" s="83"/>
      <c r="H172" s="77">
        <v>5540</v>
      </c>
      <c r="I172" s="78">
        <f>C172</f>
        <v>625</v>
      </c>
      <c r="J172" s="77"/>
      <c r="K172" s="38"/>
      <c r="L172" s="7"/>
      <c r="U172" s="61"/>
      <c r="V172" s="63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>
        <f>SUM(I172)</f>
        <v>625</v>
      </c>
      <c r="AO172" s="31"/>
      <c r="AP172" s="31"/>
      <c r="AQ172" s="31"/>
      <c r="AR172" s="31"/>
      <c r="AS172" s="31"/>
      <c r="BE172" s="61">
        <f t="shared" si="41"/>
        <v>0</v>
      </c>
    </row>
    <row r="173" spans="1:57" ht="12.75" customHeight="1" x14ac:dyDescent="0.3">
      <c r="A173" s="8">
        <v>6</v>
      </c>
      <c r="B173" s="241" t="s">
        <v>162</v>
      </c>
      <c r="C173" s="242">
        <v>60</v>
      </c>
      <c r="D173" s="238">
        <f t="shared" si="29"/>
        <v>-60</v>
      </c>
      <c r="E173" s="243" t="s">
        <v>161</v>
      </c>
      <c r="F173" s="240">
        <f t="shared" si="38"/>
        <v>20435.725000000035</v>
      </c>
      <c r="G173" s="83"/>
      <c r="H173" s="77">
        <v>7850</v>
      </c>
      <c r="I173" s="78">
        <f>C173</f>
        <v>60</v>
      </c>
      <c r="J173" s="77"/>
      <c r="K173" s="38"/>
      <c r="L173" s="7"/>
      <c r="U173" s="61">
        <f>SUM(I173)</f>
        <v>60</v>
      </c>
      <c r="V173" s="63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BE173" s="61">
        <f t="shared" si="41"/>
        <v>0</v>
      </c>
    </row>
    <row r="174" spans="1:57" ht="12.75" customHeight="1" x14ac:dyDescent="0.3">
      <c r="A174" s="8">
        <v>6</v>
      </c>
      <c r="B174" s="244" t="s">
        <v>160</v>
      </c>
      <c r="C174" s="237">
        <v>1833.35</v>
      </c>
      <c r="D174" s="238">
        <f t="shared" si="29"/>
        <v>-1833.35</v>
      </c>
      <c r="E174" s="243" t="s">
        <v>159</v>
      </c>
      <c r="F174" s="240">
        <f t="shared" si="38"/>
        <v>18602.375000000036</v>
      </c>
      <c r="G174" s="83"/>
      <c r="H174" s="77">
        <v>6590</v>
      </c>
      <c r="I174" s="78">
        <f>C174</f>
        <v>1833.35</v>
      </c>
      <c r="J174" s="77"/>
      <c r="K174" s="38"/>
      <c r="L174" s="7"/>
      <c r="U174" s="61"/>
      <c r="V174" s="63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P174" s="31">
        <f>SUM(I174)</f>
        <v>1833.35</v>
      </c>
      <c r="AQ174" s="31"/>
      <c r="AR174" s="31"/>
      <c r="AS174" s="31"/>
      <c r="BE174" s="61">
        <f>SUM(U174:BD174)-C174</f>
        <v>0</v>
      </c>
    </row>
    <row r="175" spans="1:57" ht="12.75" customHeight="1" x14ac:dyDescent="0.3">
      <c r="A175" s="135">
        <v>6</v>
      </c>
      <c r="B175" s="265" t="s">
        <v>157</v>
      </c>
      <c r="C175" s="276"/>
      <c r="D175" s="267">
        <v>40630.800000000003</v>
      </c>
      <c r="E175" s="268" t="s">
        <v>342</v>
      </c>
      <c r="F175" s="269">
        <f t="shared" si="38"/>
        <v>59233.175000000039</v>
      </c>
      <c r="G175" s="83"/>
      <c r="H175" s="77" t="s">
        <v>207</v>
      </c>
      <c r="I175" s="77" t="s">
        <v>207</v>
      </c>
      <c r="J175" s="77"/>
      <c r="K175" s="38"/>
      <c r="L175" s="7"/>
      <c r="U175" s="61"/>
      <c r="V175" s="63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BE175" s="61">
        <f>SUM(U175:BD175)-C175</f>
        <v>0</v>
      </c>
    </row>
    <row r="176" spans="1:57" ht="12.75" customHeight="1" x14ac:dyDescent="0.3">
      <c r="A176" s="135">
        <v>6</v>
      </c>
      <c r="B176" s="265" t="s">
        <v>157</v>
      </c>
      <c r="C176" s="276"/>
      <c r="D176" s="141">
        <v>262637.08</v>
      </c>
      <c r="E176" s="268" t="s">
        <v>343</v>
      </c>
      <c r="F176" s="269">
        <f t="shared" si="38"/>
        <v>321870.25500000006</v>
      </c>
      <c r="G176" s="83"/>
      <c r="H176" s="77" t="s">
        <v>207</v>
      </c>
      <c r="I176" s="77" t="s">
        <v>207</v>
      </c>
      <c r="J176" s="77"/>
      <c r="K176" s="38"/>
      <c r="L176" s="7"/>
      <c r="U176" s="61"/>
      <c r="V176" s="63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BE176" s="61">
        <f>SUM(U176:BD176)-C176</f>
        <v>0</v>
      </c>
    </row>
    <row r="177" spans="1:58" ht="12.75" customHeight="1" x14ac:dyDescent="0.3">
      <c r="A177" s="8">
        <v>6</v>
      </c>
      <c r="B177" s="241" t="s">
        <v>155</v>
      </c>
      <c r="C177" s="242">
        <v>13385</v>
      </c>
      <c r="D177" s="238">
        <v>-13385</v>
      </c>
      <c r="E177" s="486" t="s">
        <v>154</v>
      </c>
      <c r="F177" s="240">
        <f t="shared" si="38"/>
        <v>308485.25500000006</v>
      </c>
      <c r="G177" s="77"/>
      <c r="H177" s="77">
        <v>8570</v>
      </c>
      <c r="I177" s="80">
        <v>1010</v>
      </c>
      <c r="J177" s="77" t="s">
        <v>207</v>
      </c>
      <c r="K177" s="38" t="s">
        <v>207</v>
      </c>
      <c r="L177" s="7">
        <v>8510</v>
      </c>
      <c r="M177" s="38">
        <v>10000</v>
      </c>
      <c r="N177" s="50">
        <v>8520</v>
      </c>
      <c r="O177" s="38">
        <v>750</v>
      </c>
      <c r="P177" s="50">
        <v>8530</v>
      </c>
      <c r="Q177" s="123">
        <v>1500</v>
      </c>
      <c r="R177" s="50">
        <v>8590</v>
      </c>
      <c r="S177" s="38">
        <v>125</v>
      </c>
      <c r="T177" s="51">
        <v>13385</v>
      </c>
      <c r="U177" s="61"/>
      <c r="V177" s="63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>
        <v>1010</v>
      </c>
      <c r="AH177" s="31">
        <v>10000</v>
      </c>
      <c r="AI177" s="31">
        <v>750</v>
      </c>
      <c r="AJ177" s="31">
        <v>1500</v>
      </c>
      <c r="AK177" s="31">
        <v>125</v>
      </c>
      <c r="AL177" s="31"/>
      <c r="AM177" s="31"/>
      <c r="AN177" s="31"/>
      <c r="AO177" s="31"/>
      <c r="AP177" s="31"/>
      <c r="AQ177" s="31"/>
      <c r="AR177" s="31"/>
      <c r="AS177" s="31"/>
      <c r="BE177" s="61">
        <v>0</v>
      </c>
    </row>
    <row r="178" spans="1:58" ht="12.75" customHeight="1" x14ac:dyDescent="0.3">
      <c r="A178" s="8">
        <v>6</v>
      </c>
      <c r="B178" s="241" t="s">
        <v>153</v>
      </c>
      <c r="C178" s="242">
        <v>100</v>
      </c>
      <c r="D178" s="238">
        <f t="shared" ref="D178:D188" si="42">SUM(C178*-1)</f>
        <v>-100</v>
      </c>
      <c r="E178" s="243" t="s">
        <v>152</v>
      </c>
      <c r="F178" s="240">
        <f t="shared" si="38"/>
        <v>308385.25500000006</v>
      </c>
      <c r="G178" s="83"/>
      <c r="H178" s="77">
        <v>7850</v>
      </c>
      <c r="I178" s="78">
        <f>C178</f>
        <v>100</v>
      </c>
      <c r="J178" s="77"/>
      <c r="K178" s="38"/>
      <c r="L178" s="7"/>
      <c r="U178" s="61">
        <f>SUM(I178)</f>
        <v>100</v>
      </c>
      <c r="V178" s="63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BE178" s="61">
        <f>SUM(U178:BD178)-C178</f>
        <v>0</v>
      </c>
    </row>
    <row r="179" spans="1:58" ht="12.75" customHeight="1" x14ac:dyDescent="0.3">
      <c r="A179" s="215">
        <v>6</v>
      </c>
      <c r="B179" s="479" t="s">
        <v>430</v>
      </c>
      <c r="C179" s="251">
        <v>2600</v>
      </c>
      <c r="D179" s="252">
        <f t="shared" si="42"/>
        <v>-2600</v>
      </c>
      <c r="E179" s="480" t="s">
        <v>434</v>
      </c>
      <c r="F179" s="254">
        <f t="shared" si="38"/>
        <v>305785.25500000006</v>
      </c>
      <c r="G179" s="83"/>
      <c r="H179" s="77"/>
      <c r="I179" s="78"/>
      <c r="J179" s="77"/>
      <c r="K179" s="38"/>
      <c r="L179" s="7"/>
      <c r="U179" s="61"/>
      <c r="V179" s="63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>
        <f>SUM(C179)</f>
        <v>2600</v>
      </c>
      <c r="AU179" s="31"/>
      <c r="BE179" s="61">
        <f t="shared" ref="BE179:BE183" si="43">SUM(U179:BD179)-C179</f>
        <v>0</v>
      </c>
    </row>
    <row r="180" spans="1:58" ht="12.75" customHeight="1" x14ac:dyDescent="0.3">
      <c r="A180" s="8">
        <v>6</v>
      </c>
      <c r="B180" s="244" t="s">
        <v>266</v>
      </c>
      <c r="C180" s="242">
        <v>1523.36</v>
      </c>
      <c r="D180" s="238">
        <f t="shared" si="42"/>
        <v>-1523.36</v>
      </c>
      <c r="E180" s="243" t="s">
        <v>268</v>
      </c>
      <c r="F180" s="240">
        <f t="shared" si="38"/>
        <v>304261.89500000008</v>
      </c>
      <c r="G180" s="83"/>
      <c r="H180" s="570" t="s">
        <v>264</v>
      </c>
      <c r="I180" s="570"/>
      <c r="J180" s="77"/>
      <c r="K180" s="38"/>
      <c r="L180" s="7"/>
      <c r="U180" s="61"/>
      <c r="V180" s="63"/>
      <c r="W180" s="31">
        <f>SUM(W148)</f>
        <v>104.73750000000001</v>
      </c>
      <c r="X180" s="31"/>
      <c r="Y180" s="31">
        <f>SUM(Y148)</f>
        <v>778.6875</v>
      </c>
      <c r="Z180" s="31"/>
      <c r="AA180" s="31">
        <f>SUM(AA148)</f>
        <v>375</v>
      </c>
      <c r="AB180" s="31"/>
      <c r="AC180" s="31"/>
      <c r="AD180" s="31">
        <f>SUM(AD148)</f>
        <v>90</v>
      </c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>
        <f>SUM(AQ148)</f>
        <v>111.1875</v>
      </c>
      <c r="AR180" s="31">
        <f>SUM(AR148)</f>
        <v>63.75</v>
      </c>
      <c r="AS180" s="31"/>
      <c r="BE180" s="61">
        <f t="shared" si="43"/>
        <v>2.5000000000545697E-3</v>
      </c>
    </row>
    <row r="181" spans="1:58" ht="12.75" customHeight="1" x14ac:dyDescent="0.3">
      <c r="A181" s="8">
        <v>6</v>
      </c>
      <c r="B181" s="241" t="s">
        <v>150</v>
      </c>
      <c r="C181" s="242">
        <v>458.65</v>
      </c>
      <c r="D181" s="238">
        <f t="shared" si="42"/>
        <v>-458.65</v>
      </c>
      <c r="E181" s="243" t="s">
        <v>149</v>
      </c>
      <c r="F181" s="240">
        <f t="shared" si="38"/>
        <v>303803.24500000005</v>
      </c>
      <c r="G181" s="83"/>
      <c r="H181" s="77">
        <v>7910</v>
      </c>
      <c r="I181" s="78">
        <f t="shared" ref="I181:I188" si="44">C181</f>
        <v>458.65</v>
      </c>
      <c r="J181" s="77"/>
      <c r="K181" s="38"/>
      <c r="L181" s="7"/>
      <c r="U181" s="61"/>
      <c r="V181" s="63">
        <f>SUM(I181)</f>
        <v>458.65</v>
      </c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BE181" s="61">
        <f t="shared" si="43"/>
        <v>0</v>
      </c>
    </row>
    <row r="182" spans="1:58" ht="12.75" customHeight="1" x14ac:dyDescent="0.3">
      <c r="A182" s="8">
        <v>6</v>
      </c>
      <c r="B182" s="241" t="s">
        <v>148</v>
      </c>
      <c r="C182" s="242">
        <v>150</v>
      </c>
      <c r="D182" s="238">
        <f t="shared" si="42"/>
        <v>-150</v>
      </c>
      <c r="E182" s="243" t="s">
        <v>147</v>
      </c>
      <c r="F182" s="240">
        <f t="shared" si="38"/>
        <v>303653.24500000005</v>
      </c>
      <c r="G182" s="83"/>
      <c r="H182" s="77">
        <v>7950</v>
      </c>
      <c r="I182" s="78">
        <f t="shared" si="44"/>
        <v>150</v>
      </c>
      <c r="J182" s="77"/>
      <c r="K182" s="38"/>
      <c r="L182" s="7"/>
      <c r="U182" s="61"/>
      <c r="V182" s="63"/>
      <c r="W182" s="31">
        <f>SUM(I182)</f>
        <v>150</v>
      </c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BE182" s="61">
        <f t="shared" si="43"/>
        <v>0</v>
      </c>
    </row>
    <row r="183" spans="1:58" ht="12.75" customHeight="1" x14ac:dyDescent="0.3">
      <c r="A183" s="8">
        <v>6</v>
      </c>
      <c r="B183" s="241" t="s">
        <v>146</v>
      </c>
      <c r="C183" s="242">
        <v>149.99</v>
      </c>
      <c r="D183" s="238">
        <f t="shared" si="42"/>
        <v>-149.99</v>
      </c>
      <c r="E183" s="243" t="s">
        <v>145</v>
      </c>
      <c r="F183" s="240">
        <f t="shared" si="38"/>
        <v>303503.25500000006</v>
      </c>
      <c r="G183" s="83"/>
      <c r="H183" s="77">
        <v>7950</v>
      </c>
      <c r="I183" s="78">
        <f t="shared" si="44"/>
        <v>149.99</v>
      </c>
      <c r="J183" s="77"/>
      <c r="K183" s="38"/>
      <c r="L183" s="7"/>
      <c r="U183" s="61"/>
      <c r="V183" s="63"/>
      <c r="W183" s="31">
        <f>SUM(I183)</f>
        <v>149.99</v>
      </c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BE183" s="61">
        <f t="shared" si="43"/>
        <v>0</v>
      </c>
    </row>
    <row r="184" spans="1:58" ht="12.75" customHeight="1" x14ac:dyDescent="0.3">
      <c r="A184" s="8">
        <v>6</v>
      </c>
      <c r="B184" s="241" t="s">
        <v>144</v>
      </c>
      <c r="C184" s="242">
        <v>300</v>
      </c>
      <c r="D184" s="238">
        <f t="shared" si="42"/>
        <v>-300</v>
      </c>
      <c r="E184" s="243" t="s">
        <v>138</v>
      </c>
      <c r="F184" s="240">
        <f t="shared" si="38"/>
        <v>303203.25500000006</v>
      </c>
      <c r="G184" s="83"/>
      <c r="H184" s="77">
        <v>7950</v>
      </c>
      <c r="I184" s="78">
        <f t="shared" si="44"/>
        <v>300</v>
      </c>
      <c r="J184" s="77"/>
      <c r="K184" s="38"/>
      <c r="L184" s="7"/>
      <c r="U184" s="61"/>
      <c r="V184" s="63"/>
      <c r="W184" s="31">
        <f>SUM(I184)</f>
        <v>300</v>
      </c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BE184" s="61">
        <f>SUM(U184:BD184)-C184</f>
        <v>0</v>
      </c>
    </row>
    <row r="185" spans="1:58" ht="12.75" customHeight="1" x14ac:dyDescent="0.3">
      <c r="A185" s="8">
        <v>6</v>
      </c>
      <c r="B185" s="244" t="s">
        <v>143</v>
      </c>
      <c r="C185" s="242">
        <v>75</v>
      </c>
      <c r="D185" s="238">
        <f t="shared" si="42"/>
        <v>-75</v>
      </c>
      <c r="E185" s="243" t="s">
        <v>138</v>
      </c>
      <c r="F185" s="240">
        <f t="shared" si="38"/>
        <v>303128.25500000006</v>
      </c>
      <c r="G185" s="83"/>
      <c r="H185" s="77">
        <v>7950</v>
      </c>
      <c r="I185" s="78">
        <f t="shared" si="44"/>
        <v>75</v>
      </c>
      <c r="J185" s="77"/>
      <c r="K185" s="38"/>
      <c r="L185" s="7"/>
      <c r="U185" s="61"/>
      <c r="V185" s="63"/>
      <c r="W185" s="31">
        <f>SUM(I185)</f>
        <v>75</v>
      </c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BE185" s="61">
        <f>SUM(U185:BD185)-C185</f>
        <v>0</v>
      </c>
    </row>
    <row r="186" spans="1:58" ht="12.75" customHeight="1" x14ac:dyDescent="0.3">
      <c r="A186" s="8">
        <v>6</v>
      </c>
      <c r="B186" s="241" t="s">
        <v>142</v>
      </c>
      <c r="C186" s="242">
        <v>2500</v>
      </c>
      <c r="D186" s="238">
        <f t="shared" si="42"/>
        <v>-2500</v>
      </c>
      <c r="E186" s="243" t="s">
        <v>140</v>
      </c>
      <c r="F186" s="240">
        <f t="shared" si="38"/>
        <v>300628.25500000006</v>
      </c>
      <c r="G186" s="83"/>
      <c r="H186" s="77">
        <v>5710</v>
      </c>
      <c r="I186" s="78">
        <f t="shared" si="44"/>
        <v>2500</v>
      </c>
      <c r="J186" s="77"/>
      <c r="K186" s="38"/>
      <c r="L186" s="7"/>
      <c r="U186" s="61"/>
      <c r="V186" s="63"/>
      <c r="W186" s="31"/>
      <c r="X186" s="31"/>
      <c r="Y186" s="31"/>
      <c r="Z186" s="31">
        <f>SUM(I186)</f>
        <v>2500</v>
      </c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BE186" s="61">
        <f>SUM(U186:BD186)-C186</f>
        <v>0</v>
      </c>
    </row>
    <row r="187" spans="1:58" ht="12.75" customHeight="1" x14ac:dyDescent="0.3">
      <c r="A187" s="8">
        <v>6</v>
      </c>
      <c r="B187" s="241" t="s">
        <v>141</v>
      </c>
      <c r="C187" s="242">
        <v>1080</v>
      </c>
      <c r="D187" s="238">
        <f t="shared" si="42"/>
        <v>-1080</v>
      </c>
      <c r="E187" s="243" t="s">
        <v>140</v>
      </c>
      <c r="F187" s="240">
        <f t="shared" si="38"/>
        <v>299548.25500000006</v>
      </c>
      <c r="G187" s="83"/>
      <c r="H187" s="77">
        <v>6730</v>
      </c>
      <c r="I187" s="78">
        <f t="shared" si="44"/>
        <v>1080</v>
      </c>
      <c r="J187" s="77"/>
      <c r="K187" s="38"/>
      <c r="L187" s="7"/>
      <c r="U187" s="61"/>
      <c r="V187" s="63"/>
      <c r="W187" s="31"/>
      <c r="X187" s="31">
        <f>SUM(I187)</f>
        <v>1080</v>
      </c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BE187" s="61">
        <f>SUM(U187:BD187)-C187</f>
        <v>0</v>
      </c>
    </row>
    <row r="188" spans="1:58" ht="12.75" customHeight="1" thickBot="1" x14ac:dyDescent="0.35">
      <c r="A188" s="215">
        <v>6</v>
      </c>
      <c r="B188" s="250" t="s">
        <v>348</v>
      </c>
      <c r="C188" s="277">
        <v>5000</v>
      </c>
      <c r="D188" s="252">
        <f t="shared" si="42"/>
        <v>-5000</v>
      </c>
      <c r="E188" s="253" t="s">
        <v>374</v>
      </c>
      <c r="F188" s="254">
        <f t="shared" si="38"/>
        <v>294548.25500000006</v>
      </c>
      <c r="G188" s="77"/>
      <c r="H188" s="77">
        <v>5130</v>
      </c>
      <c r="I188" s="78">
        <f t="shared" si="44"/>
        <v>5000</v>
      </c>
      <c r="J188" s="77"/>
      <c r="K188" s="38"/>
      <c r="L188" s="7"/>
      <c r="U188" s="61"/>
      <c r="V188" s="63"/>
      <c r="W188" s="63"/>
      <c r="X188" s="63"/>
      <c r="Y188" s="63"/>
      <c r="Z188" s="63"/>
      <c r="AA188" s="63">
        <f>SUM(I188)</f>
        <v>5000</v>
      </c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E188" s="61">
        <f>SUM(U188:BD188)-C188</f>
        <v>0</v>
      </c>
    </row>
    <row r="189" spans="1:58" ht="12.75" customHeight="1" thickTop="1" thickBot="1" x14ac:dyDescent="0.35">
      <c r="C189" s="242">
        <f>SUM(C5:C188)</f>
        <v>467520.02499999997</v>
      </c>
      <c r="E189" s="279" t="s">
        <v>287</v>
      </c>
      <c r="F189" s="240">
        <f t="shared" si="38"/>
        <v>294548.25500000006</v>
      </c>
      <c r="T189" s="31">
        <f>SUM(U189:BG189)</f>
        <v>73877.302499999991</v>
      </c>
      <c r="U189" s="111">
        <f t="shared" ref="U189:BD189" si="45">SUM(U158:U188)</f>
        <v>294.95</v>
      </c>
      <c r="V189" s="112">
        <f t="shared" si="45"/>
        <v>458.65</v>
      </c>
      <c r="W189" s="112">
        <f t="shared" si="45"/>
        <v>1029.7275</v>
      </c>
      <c r="X189" s="112">
        <f t="shared" si="45"/>
        <v>1080</v>
      </c>
      <c r="Y189" s="112">
        <f t="shared" si="45"/>
        <v>778.6875</v>
      </c>
      <c r="Z189" s="112">
        <f t="shared" si="45"/>
        <v>2500</v>
      </c>
      <c r="AA189" s="112">
        <f t="shared" si="45"/>
        <v>7375</v>
      </c>
      <c r="AB189" s="112">
        <f t="shared" si="45"/>
        <v>8100</v>
      </c>
      <c r="AC189" s="112">
        <f t="shared" si="45"/>
        <v>2350</v>
      </c>
      <c r="AD189" s="112">
        <f t="shared" si="45"/>
        <v>1674</v>
      </c>
      <c r="AE189" s="112">
        <f t="shared" si="45"/>
        <v>8333</v>
      </c>
      <c r="AF189" s="112">
        <f t="shared" si="45"/>
        <v>150</v>
      </c>
      <c r="AG189" s="112">
        <f t="shared" si="45"/>
        <v>2020</v>
      </c>
      <c r="AH189" s="112">
        <f t="shared" si="45"/>
        <v>20000</v>
      </c>
      <c r="AI189" s="112">
        <f t="shared" si="45"/>
        <v>1500</v>
      </c>
      <c r="AJ189" s="112">
        <f t="shared" si="45"/>
        <v>3000</v>
      </c>
      <c r="AK189" s="112">
        <f t="shared" si="45"/>
        <v>250</v>
      </c>
      <c r="AL189" s="112">
        <f t="shared" si="45"/>
        <v>0</v>
      </c>
      <c r="AM189" s="112">
        <f t="shared" si="45"/>
        <v>200</v>
      </c>
      <c r="AN189" s="112">
        <f t="shared" si="45"/>
        <v>625</v>
      </c>
      <c r="AO189" s="112">
        <f t="shared" si="45"/>
        <v>0</v>
      </c>
      <c r="AP189" s="112">
        <f t="shared" si="45"/>
        <v>1833.35</v>
      </c>
      <c r="AQ189" s="112">
        <f t="shared" si="45"/>
        <v>111.1875</v>
      </c>
      <c r="AR189" s="112">
        <f t="shared" si="45"/>
        <v>63.75</v>
      </c>
      <c r="AS189" s="112">
        <f t="shared" si="45"/>
        <v>0</v>
      </c>
      <c r="AT189" s="112">
        <f t="shared" si="45"/>
        <v>2600</v>
      </c>
      <c r="AU189" s="112">
        <f t="shared" ref="AU189:AV189" si="46">SUM(AU158:AU188)</f>
        <v>0</v>
      </c>
      <c r="AV189" s="112">
        <f t="shared" si="46"/>
        <v>0</v>
      </c>
      <c r="AW189" s="112">
        <f t="shared" si="45"/>
        <v>800</v>
      </c>
      <c r="AX189" s="112">
        <f t="shared" si="45"/>
        <v>0</v>
      </c>
      <c r="AY189" s="112">
        <f>SUM(AY158:AY188)</f>
        <v>0</v>
      </c>
      <c r="AZ189" s="112">
        <f>SUM(AZ158:AZ188)</f>
        <v>0</v>
      </c>
      <c r="BA189" s="112">
        <f>SUM(BA158:BA188)</f>
        <v>0</v>
      </c>
      <c r="BB189" s="112">
        <f>SUM(BB158:BB188)</f>
        <v>0</v>
      </c>
      <c r="BC189" s="112">
        <f t="shared" si="45"/>
        <v>5000</v>
      </c>
      <c r="BD189" s="112">
        <f t="shared" si="45"/>
        <v>1750</v>
      </c>
      <c r="BE189" s="113"/>
      <c r="BF189" s="98"/>
    </row>
    <row r="190" spans="1:58" ht="12.75" customHeight="1" thickTop="1" x14ac:dyDescent="0.3">
      <c r="A190" s="142">
        <v>6</v>
      </c>
      <c r="B190" s="270" t="s">
        <v>346</v>
      </c>
      <c r="C190" s="280"/>
      <c r="D190" s="249">
        <v>-95000</v>
      </c>
      <c r="E190" s="280" t="s">
        <v>347</v>
      </c>
      <c r="F190" s="249">
        <f t="shared" si="38"/>
        <v>199548.25500000006</v>
      </c>
      <c r="T190" s="31">
        <f>SUM(T189-C189)</f>
        <v>-393642.72249999997</v>
      </c>
      <c r="U190" s="107">
        <f t="shared" ref="U190:AU190" si="47">SUM(U189+U157+U128+U94+U55+U17)</f>
        <v>1574.75</v>
      </c>
      <c r="V190" s="33">
        <f t="shared" si="47"/>
        <v>3501.9</v>
      </c>
      <c r="W190" s="33">
        <f t="shared" si="47"/>
        <v>5672.9775</v>
      </c>
      <c r="X190" s="33">
        <f t="shared" si="47"/>
        <v>38145</v>
      </c>
      <c r="Y190" s="33">
        <f t="shared" si="47"/>
        <v>3893.4375</v>
      </c>
      <c r="Z190" s="33">
        <f t="shared" si="47"/>
        <v>15000</v>
      </c>
      <c r="AA190" s="33">
        <f t="shared" si="47"/>
        <v>42875</v>
      </c>
      <c r="AB190" s="33">
        <f t="shared" si="47"/>
        <v>38100</v>
      </c>
      <c r="AC190" s="33">
        <f t="shared" si="47"/>
        <v>11750</v>
      </c>
      <c r="AD190" s="33">
        <f t="shared" si="47"/>
        <v>8370</v>
      </c>
      <c r="AE190" s="33">
        <f t="shared" si="47"/>
        <v>41665</v>
      </c>
      <c r="AF190" s="33">
        <f t="shared" si="47"/>
        <v>750</v>
      </c>
      <c r="AG190" s="33">
        <f t="shared" si="47"/>
        <v>10830</v>
      </c>
      <c r="AH190" s="33">
        <f t="shared" si="47"/>
        <v>107200</v>
      </c>
      <c r="AI190" s="33">
        <f t="shared" si="47"/>
        <v>8000</v>
      </c>
      <c r="AJ190" s="33">
        <f t="shared" si="47"/>
        <v>16000</v>
      </c>
      <c r="AK190" s="33">
        <f t="shared" si="47"/>
        <v>1250</v>
      </c>
      <c r="AL190" s="33">
        <f t="shared" si="47"/>
        <v>1500</v>
      </c>
      <c r="AM190" s="33">
        <f t="shared" si="47"/>
        <v>1000</v>
      </c>
      <c r="AN190" s="33">
        <f t="shared" si="47"/>
        <v>3125</v>
      </c>
      <c r="AO190" s="33">
        <f t="shared" si="47"/>
        <v>330.78</v>
      </c>
      <c r="AP190" s="33">
        <f t="shared" si="47"/>
        <v>9166.75</v>
      </c>
      <c r="AQ190" s="33">
        <f t="shared" si="47"/>
        <v>555.9375</v>
      </c>
      <c r="AR190" s="33">
        <f t="shared" si="47"/>
        <v>318.75</v>
      </c>
      <c r="AS190" s="33">
        <f t="shared" si="47"/>
        <v>2346</v>
      </c>
      <c r="AT190" s="33">
        <f t="shared" si="47"/>
        <v>27079.68</v>
      </c>
      <c r="AU190" s="33">
        <f t="shared" si="47"/>
        <v>3050</v>
      </c>
      <c r="AV190" s="33">
        <f t="shared" ref="AV190" si="48">SUM(AV189+AV157+AV128+AV94+AV55+AV17)</f>
        <v>7154.0700000000006</v>
      </c>
      <c r="AW190" s="33">
        <f>SUM(AW189+AW157+AW128+AW94+AW55+AW17)</f>
        <v>4750</v>
      </c>
      <c r="AX190" s="33">
        <f>SUM(AX189+AX157+AX128+AX94+AX55+AX17)</f>
        <v>4500</v>
      </c>
      <c r="AY190" s="33">
        <f>SUM(AY189+AY157+AY128+AY94+AY55+AY17)</f>
        <v>2600</v>
      </c>
      <c r="AZ190" s="33">
        <f>SUM(AZ189+AZ157+AZ128+AZ94+AZ55+AZ17)</f>
        <v>1800</v>
      </c>
      <c r="BA190" s="33">
        <f t="shared" ref="BA190:BB190" si="49">SUM(BA189+BA157+BA128+BA94+BA55+BA17)</f>
        <v>1500</v>
      </c>
      <c r="BB190" s="33">
        <f t="shared" si="49"/>
        <v>5825</v>
      </c>
      <c r="BC190" s="33">
        <f>SUM(BC189+BC157+BC128+BC94+BC55+BC17)</f>
        <v>25000</v>
      </c>
      <c r="BD190" s="33">
        <f>SUM(BD189+BD157+BD128+BD94+BD55+BD17)</f>
        <v>11340</v>
      </c>
      <c r="BE190" s="107">
        <f>SUM(U190:BD190)</f>
        <v>467520.03250000003</v>
      </c>
    </row>
    <row r="191" spans="1:58" ht="12.75" customHeight="1" thickBot="1" x14ac:dyDescent="0.35">
      <c r="K191" s="40"/>
      <c r="U191" s="64">
        <v>7850</v>
      </c>
      <c r="V191" s="65">
        <v>7910</v>
      </c>
      <c r="W191" s="65">
        <v>7950</v>
      </c>
      <c r="X191" s="65">
        <v>6730</v>
      </c>
      <c r="Y191" s="65">
        <v>7010</v>
      </c>
      <c r="Z191" s="65">
        <v>5710</v>
      </c>
      <c r="AA191" s="65">
        <v>5130</v>
      </c>
      <c r="AB191" s="65">
        <v>5510</v>
      </c>
      <c r="AC191" s="65">
        <v>7650</v>
      </c>
      <c r="AD191" s="65">
        <v>5750</v>
      </c>
      <c r="AE191" s="65">
        <v>5520</v>
      </c>
      <c r="AF191" s="65">
        <v>7090</v>
      </c>
      <c r="AG191" s="65">
        <v>8570</v>
      </c>
      <c r="AH191" s="65">
        <v>8510</v>
      </c>
      <c r="AI191" s="65">
        <v>8520</v>
      </c>
      <c r="AJ191" s="65">
        <v>8530</v>
      </c>
      <c r="AK191" s="65">
        <v>8590</v>
      </c>
      <c r="AL191" s="65">
        <v>5170</v>
      </c>
      <c r="AM191" s="65">
        <v>6770</v>
      </c>
      <c r="AN191" s="65">
        <v>5540</v>
      </c>
      <c r="AO191" s="65">
        <f t="shared" ref="AO191:AT191" si="50">SUM(AO4)</f>
        <v>6590</v>
      </c>
      <c r="AP191" s="65">
        <f t="shared" si="50"/>
        <v>6510</v>
      </c>
      <c r="AQ191" s="65">
        <f t="shared" si="50"/>
        <v>5780</v>
      </c>
      <c r="AR191" s="65">
        <f t="shared" si="50"/>
        <v>8540</v>
      </c>
      <c r="AS191" s="65">
        <f t="shared" si="50"/>
        <v>6720</v>
      </c>
      <c r="AT191" s="65">
        <f t="shared" si="50"/>
        <v>5880</v>
      </c>
      <c r="AU191" s="65">
        <f t="shared" ref="AU191:AV191" si="51">SUM(AU4)</f>
        <v>5820</v>
      </c>
      <c r="AV191" s="65">
        <f t="shared" si="51"/>
        <v>6550</v>
      </c>
      <c r="AW191" s="65">
        <f t="shared" ref="AW191:BD191" si="52">SUM(AW4)</f>
        <v>7010</v>
      </c>
      <c r="AX191" s="65">
        <f t="shared" si="52"/>
        <v>5840</v>
      </c>
      <c r="AY191" s="65">
        <f t="shared" si="52"/>
        <v>6570</v>
      </c>
      <c r="AZ191" s="65">
        <f t="shared" si="52"/>
        <v>5560</v>
      </c>
      <c r="BA191" s="65">
        <f t="shared" si="52"/>
        <v>5150</v>
      </c>
      <c r="BB191" s="65">
        <f t="shared" si="52"/>
        <v>5870</v>
      </c>
      <c r="BC191" s="65">
        <f t="shared" si="52"/>
        <v>9999</v>
      </c>
      <c r="BD191" s="65">
        <f t="shared" si="52"/>
        <v>7280</v>
      </c>
      <c r="BE191" s="100">
        <f>SUM(BE190-C189)</f>
        <v>7.5000000651925802E-3</v>
      </c>
    </row>
    <row r="192" spans="1:58" ht="12.75" customHeight="1" x14ac:dyDescent="0.3">
      <c r="B192" s="571" t="s">
        <v>137</v>
      </c>
      <c r="C192" s="571"/>
      <c r="D192" s="571"/>
      <c r="E192" s="571"/>
      <c r="F192" s="571"/>
      <c r="G192" s="571"/>
      <c r="H192" s="571"/>
      <c r="I192" s="571"/>
      <c r="J192" s="571"/>
      <c r="K192" s="571"/>
      <c r="L192" s="571"/>
      <c r="M192" s="571"/>
      <c r="N192" s="571"/>
      <c r="O192" s="571"/>
      <c r="P192" s="571"/>
      <c r="Q192" s="571"/>
      <c r="R192" s="571"/>
      <c r="S192" s="571"/>
      <c r="T192" s="571"/>
      <c r="U192" s="571"/>
      <c r="V192" s="571"/>
      <c r="W192" s="571"/>
      <c r="X192" s="571"/>
    </row>
    <row r="193" spans="1:58" ht="12.75" customHeight="1" x14ac:dyDescent="0.3">
      <c r="B193" s="572" t="s">
        <v>136</v>
      </c>
      <c r="C193" s="572"/>
      <c r="D193" s="572"/>
      <c r="E193" s="572"/>
      <c r="F193" s="572"/>
      <c r="G193" s="572"/>
      <c r="H193" s="572"/>
      <c r="I193" s="572"/>
      <c r="J193" s="572"/>
      <c r="K193" s="572"/>
      <c r="L193" s="572"/>
      <c r="M193" s="572"/>
      <c r="N193" s="572"/>
      <c r="O193" s="572"/>
      <c r="P193" s="572"/>
      <c r="Q193" s="572"/>
      <c r="R193" s="572"/>
      <c r="S193" s="572"/>
      <c r="T193" s="572"/>
      <c r="U193" s="572"/>
      <c r="V193" s="572"/>
      <c r="W193" s="572"/>
      <c r="X193" s="572"/>
    </row>
    <row r="194" spans="1:58" ht="12.75" customHeight="1" x14ac:dyDescent="0.3">
      <c r="B194" s="470" t="s">
        <v>135</v>
      </c>
      <c r="C194" s="470" t="s">
        <v>134</v>
      </c>
      <c r="D194" s="565" t="s">
        <v>133</v>
      </c>
      <c r="E194" s="565"/>
      <c r="F194" s="470" t="s">
        <v>132</v>
      </c>
      <c r="U194" s="26" t="s">
        <v>131</v>
      </c>
      <c r="V194" s="25"/>
      <c r="W194" s="24" t="s">
        <v>130</v>
      </c>
      <c r="X194" s="23" t="s">
        <v>129</v>
      </c>
    </row>
    <row r="195" spans="1:58" ht="12.75" customHeight="1" x14ac:dyDescent="0.3">
      <c r="C195" s="244" t="s">
        <v>128</v>
      </c>
      <c r="D195" s="244">
        <v>4308159</v>
      </c>
      <c r="E195" s="244" t="s">
        <v>114</v>
      </c>
      <c r="F195" s="281">
        <v>78820</v>
      </c>
      <c r="U195" s="576" t="s">
        <v>275</v>
      </c>
      <c r="V195" s="577"/>
      <c r="W195" s="18">
        <f>SUM(F195/2)</f>
        <v>39410</v>
      </c>
      <c r="X195" s="14">
        <v>2</v>
      </c>
    </row>
    <row r="196" spans="1:58" ht="12.75" customHeight="1" x14ac:dyDescent="0.3">
      <c r="B196" s="70" t="s">
        <v>263</v>
      </c>
      <c r="C196" s="282" t="s">
        <v>124</v>
      </c>
      <c r="D196" s="282">
        <v>6880</v>
      </c>
      <c r="E196" s="282" t="s">
        <v>112</v>
      </c>
      <c r="F196" s="283">
        <v>114059.67</v>
      </c>
      <c r="U196" s="85"/>
      <c r="V196" s="86"/>
      <c r="W196" s="18"/>
      <c r="X196" s="14"/>
    </row>
    <row r="197" spans="1:58" ht="12.75" customHeight="1" x14ac:dyDescent="0.3">
      <c r="B197" s="70" t="s">
        <v>263</v>
      </c>
      <c r="C197" s="282" t="s">
        <v>127</v>
      </c>
      <c r="D197" s="282">
        <v>6884</v>
      </c>
      <c r="E197" s="282" t="s">
        <v>112</v>
      </c>
      <c r="F197" s="283">
        <v>112371.34</v>
      </c>
      <c r="U197" s="473"/>
      <c r="V197" s="474"/>
      <c r="W197" s="18"/>
      <c r="X197" s="14"/>
    </row>
    <row r="198" spans="1:58" ht="12.75" customHeight="1" x14ac:dyDescent="0.3">
      <c r="B198" s="21"/>
      <c r="C198" s="244" t="s">
        <v>120</v>
      </c>
      <c r="D198" s="244">
        <v>4310638</v>
      </c>
      <c r="E198" s="244" t="s">
        <v>114</v>
      </c>
      <c r="F198" s="281">
        <v>262891.48</v>
      </c>
      <c r="U198" s="578" t="s">
        <v>274</v>
      </c>
      <c r="V198" s="579"/>
      <c r="W198" s="18">
        <f>SUM(F198-W199)/3</f>
        <v>74493.82666666666</v>
      </c>
      <c r="X198" s="14">
        <v>3</v>
      </c>
    </row>
    <row r="199" spans="1:58" ht="12.75" customHeight="1" x14ac:dyDescent="0.3">
      <c r="B199" s="70" t="s">
        <v>263</v>
      </c>
      <c r="C199" s="282" t="s">
        <v>118</v>
      </c>
      <c r="D199" s="282">
        <v>6885</v>
      </c>
      <c r="E199" s="282" t="s">
        <v>112</v>
      </c>
      <c r="F199" s="283">
        <v>119172.22</v>
      </c>
      <c r="U199" s="573" t="s">
        <v>273</v>
      </c>
      <c r="V199" s="574"/>
      <c r="W199" s="18">
        <f>W195</f>
        <v>39410</v>
      </c>
      <c r="X199" s="14">
        <v>1</v>
      </c>
    </row>
    <row r="200" spans="1:58" ht="12.75" customHeight="1" x14ac:dyDescent="0.3">
      <c r="B200" s="70" t="s">
        <v>263</v>
      </c>
      <c r="C200" s="282" t="s">
        <v>127</v>
      </c>
      <c r="D200" s="282">
        <v>6884</v>
      </c>
      <c r="E200" s="282" t="s">
        <v>112</v>
      </c>
      <c r="F200" s="283">
        <v>112371.34</v>
      </c>
      <c r="U200" s="473"/>
      <c r="V200" s="474"/>
      <c r="W200" s="18"/>
      <c r="X200" s="14"/>
    </row>
    <row r="201" spans="1:58" ht="12.75" customHeight="1" x14ac:dyDescent="0.3">
      <c r="B201" s="70" t="s">
        <v>263</v>
      </c>
      <c r="C201" s="282" t="s">
        <v>126</v>
      </c>
      <c r="D201" s="282">
        <v>6879</v>
      </c>
      <c r="E201" s="282" t="s">
        <v>112</v>
      </c>
      <c r="F201" s="283">
        <v>60782.47</v>
      </c>
      <c r="U201" s="473"/>
      <c r="V201" s="474"/>
      <c r="W201" s="18"/>
      <c r="X201" s="14"/>
    </row>
    <row r="202" spans="1:58" ht="12.75" customHeight="1" x14ac:dyDescent="0.3">
      <c r="B202" s="70" t="s">
        <v>263</v>
      </c>
      <c r="C202" s="282" t="s">
        <v>125</v>
      </c>
      <c r="D202" s="282">
        <v>6877</v>
      </c>
      <c r="E202" s="282" t="s">
        <v>112</v>
      </c>
      <c r="F202" s="283">
        <v>114059.67</v>
      </c>
      <c r="U202" s="473"/>
      <c r="V202" s="474"/>
      <c r="W202" s="18"/>
      <c r="X202" s="14"/>
    </row>
    <row r="203" spans="1:58" s="7" customFormat="1" ht="12.75" customHeight="1" x14ac:dyDescent="0.3">
      <c r="A203" s="8"/>
      <c r="B203" s="70" t="s">
        <v>263</v>
      </c>
      <c r="C203" s="282" t="s">
        <v>124</v>
      </c>
      <c r="D203" s="282">
        <v>6880</v>
      </c>
      <c r="E203" s="282" t="s">
        <v>112</v>
      </c>
      <c r="F203" s="283">
        <v>114059.67</v>
      </c>
      <c r="G203" s="84"/>
      <c r="H203" s="84"/>
      <c r="I203" s="84"/>
      <c r="J203" s="84"/>
      <c r="L203" s="38"/>
      <c r="U203" s="473"/>
      <c r="V203" s="474"/>
      <c r="W203" s="18"/>
      <c r="X203" s="14"/>
      <c r="BD203" s="62"/>
      <c r="BE203" s="121"/>
      <c r="BF203" s="475"/>
    </row>
    <row r="204" spans="1:58" s="7" customFormat="1" ht="12.75" customHeight="1" x14ac:dyDescent="0.3">
      <c r="A204" s="8"/>
      <c r="B204" s="21"/>
      <c r="C204" s="244" t="s">
        <v>123</v>
      </c>
      <c r="D204" s="244">
        <v>4313171</v>
      </c>
      <c r="E204" s="244" t="s">
        <v>114</v>
      </c>
      <c r="F204" s="281">
        <v>81261.600000000006</v>
      </c>
      <c r="G204" s="84"/>
      <c r="H204" s="84"/>
      <c r="I204" s="84"/>
      <c r="J204" s="84"/>
      <c r="L204" s="38"/>
      <c r="U204" s="573" t="s">
        <v>272</v>
      </c>
      <c r="V204" s="574"/>
      <c r="W204" s="18">
        <f>SUM(F204/2)</f>
        <v>40630.800000000003</v>
      </c>
      <c r="X204" s="14">
        <v>2</v>
      </c>
      <c r="BD204" s="62"/>
      <c r="BE204" s="121"/>
      <c r="BF204" s="475"/>
    </row>
    <row r="205" spans="1:58" s="7" customFormat="1" ht="12.75" customHeight="1" x14ac:dyDescent="0.3">
      <c r="A205" s="8"/>
      <c r="B205" s="70" t="s">
        <v>263</v>
      </c>
      <c r="C205" s="282" t="s">
        <v>119</v>
      </c>
      <c r="D205" s="282">
        <v>6895</v>
      </c>
      <c r="E205" s="282" t="s">
        <v>112</v>
      </c>
      <c r="F205" s="283">
        <v>119172.22</v>
      </c>
      <c r="G205" s="84"/>
      <c r="H205" s="84"/>
      <c r="I205" s="84"/>
      <c r="J205" s="84"/>
      <c r="L205" s="38"/>
      <c r="U205" s="473"/>
      <c r="V205" s="474"/>
      <c r="W205" s="18"/>
      <c r="X205" s="14"/>
      <c r="BD205" s="62"/>
      <c r="BE205" s="121"/>
      <c r="BF205" s="475"/>
    </row>
    <row r="206" spans="1:58" s="7" customFormat="1" ht="12.75" customHeight="1" x14ac:dyDescent="0.3">
      <c r="A206" s="8"/>
      <c r="B206" s="70" t="s">
        <v>263</v>
      </c>
      <c r="C206" s="282" t="s">
        <v>120</v>
      </c>
      <c r="D206" s="282">
        <v>6894</v>
      </c>
      <c r="E206" s="282" t="s">
        <v>112</v>
      </c>
      <c r="F206" s="283">
        <v>119172.22</v>
      </c>
      <c r="G206" s="84"/>
      <c r="H206" s="84"/>
      <c r="I206" s="84"/>
      <c r="J206" s="84"/>
      <c r="L206" s="38"/>
      <c r="U206" s="473"/>
      <c r="V206" s="474"/>
      <c r="W206" s="18"/>
      <c r="X206" s="14"/>
      <c r="BD206" s="62"/>
      <c r="BE206" s="121"/>
      <c r="BF206" s="475"/>
    </row>
    <row r="207" spans="1:58" s="7" customFormat="1" ht="12.75" customHeight="1" x14ac:dyDescent="0.3">
      <c r="A207" s="8"/>
      <c r="B207" s="21"/>
      <c r="C207" s="244" t="s">
        <v>122</v>
      </c>
      <c r="D207" s="244">
        <v>4315955</v>
      </c>
      <c r="E207" s="244" t="s">
        <v>114</v>
      </c>
      <c r="F207" s="281">
        <v>342423.47</v>
      </c>
      <c r="G207" s="84"/>
      <c r="H207" s="84"/>
      <c r="I207" s="84"/>
      <c r="J207" s="84"/>
      <c r="L207" s="38"/>
      <c r="U207" s="573" t="s">
        <v>271</v>
      </c>
      <c r="V207" s="574"/>
      <c r="W207" s="18">
        <f>SUM(F207-F212)/3</f>
        <v>100597.55666666666</v>
      </c>
      <c r="X207" s="14">
        <v>3</v>
      </c>
      <c r="BD207" s="62"/>
      <c r="BE207" s="121"/>
      <c r="BF207" s="475"/>
    </row>
    <row r="208" spans="1:58" s="7" customFormat="1" ht="12.75" customHeight="1" x14ac:dyDescent="0.3">
      <c r="A208" s="8"/>
      <c r="B208" s="70" t="s">
        <v>263</v>
      </c>
      <c r="C208" s="282" t="s">
        <v>121</v>
      </c>
      <c r="D208" s="282">
        <v>6897</v>
      </c>
      <c r="E208" s="282" t="s">
        <v>112</v>
      </c>
      <c r="F208" s="283">
        <v>185340.63</v>
      </c>
      <c r="G208" s="84"/>
      <c r="H208" s="84"/>
      <c r="I208" s="84"/>
      <c r="J208" s="84"/>
      <c r="L208" s="38"/>
      <c r="U208" s="573" t="s">
        <v>270</v>
      </c>
      <c r="V208" s="574"/>
      <c r="W208" s="18">
        <f>SUM(W212)</f>
        <v>40630.800000000003</v>
      </c>
      <c r="X208" s="14">
        <v>1</v>
      </c>
      <c r="BD208" s="62"/>
      <c r="BE208" s="121"/>
      <c r="BF208" s="475"/>
    </row>
    <row r="209" spans="1:58" s="7" customFormat="1" ht="12.75" customHeight="1" x14ac:dyDescent="0.3">
      <c r="A209" s="8"/>
      <c r="B209" s="70" t="s">
        <v>263</v>
      </c>
      <c r="C209" s="282" t="s">
        <v>120</v>
      </c>
      <c r="D209" s="282">
        <v>6894</v>
      </c>
      <c r="E209" s="282" t="s">
        <v>112</v>
      </c>
      <c r="F209" s="283">
        <v>119172.22</v>
      </c>
      <c r="G209" s="84"/>
      <c r="H209" s="84"/>
      <c r="I209" s="84"/>
      <c r="J209" s="84"/>
      <c r="L209" s="38"/>
      <c r="U209" s="473"/>
      <c r="V209" s="474"/>
      <c r="W209" s="18"/>
      <c r="X209" s="14"/>
      <c r="BD209" s="62"/>
      <c r="BE209" s="121"/>
      <c r="BF209" s="475"/>
    </row>
    <row r="210" spans="1:58" s="7" customFormat="1" ht="12.75" customHeight="1" x14ac:dyDescent="0.3">
      <c r="A210" s="8"/>
      <c r="B210" s="70" t="s">
        <v>263</v>
      </c>
      <c r="C210" s="282" t="s">
        <v>119</v>
      </c>
      <c r="D210" s="282">
        <v>6895</v>
      </c>
      <c r="E210" s="282" t="s">
        <v>112</v>
      </c>
      <c r="F210" s="283">
        <v>119172.22</v>
      </c>
      <c r="G210" s="84"/>
      <c r="H210" s="84"/>
      <c r="I210" s="84"/>
      <c r="J210" s="84"/>
      <c r="L210" s="38"/>
      <c r="U210" s="473"/>
      <c r="V210" s="474"/>
      <c r="W210" s="18"/>
      <c r="X210" s="14"/>
      <c r="BD210" s="62"/>
      <c r="BE210" s="121"/>
      <c r="BF210" s="475"/>
    </row>
    <row r="211" spans="1:58" s="7" customFormat="1" ht="12.75" customHeight="1" x14ac:dyDescent="0.3">
      <c r="A211" s="8"/>
      <c r="B211" s="70" t="s">
        <v>263</v>
      </c>
      <c r="C211" s="282" t="s">
        <v>118</v>
      </c>
      <c r="D211" s="282">
        <v>6885</v>
      </c>
      <c r="E211" s="282" t="s">
        <v>112</v>
      </c>
      <c r="F211" s="283">
        <v>119172.22</v>
      </c>
      <c r="G211" s="84"/>
      <c r="H211" s="84"/>
      <c r="I211" s="84"/>
      <c r="J211" s="84"/>
      <c r="L211" s="38"/>
      <c r="U211" s="473"/>
      <c r="V211" s="474"/>
      <c r="W211" s="18"/>
      <c r="X211" s="14"/>
      <c r="BD211" s="62"/>
      <c r="BE211" s="121"/>
      <c r="BF211" s="475"/>
    </row>
    <row r="212" spans="1:58" s="7" customFormat="1" ht="12.75" customHeight="1" x14ac:dyDescent="0.3">
      <c r="A212" s="8"/>
      <c r="B212" s="21"/>
      <c r="C212" s="244" t="s">
        <v>117</v>
      </c>
      <c r="D212" s="244">
        <v>4317338</v>
      </c>
      <c r="E212" s="244" t="s">
        <v>114</v>
      </c>
      <c r="F212" s="281">
        <v>40630.800000000003</v>
      </c>
      <c r="G212" s="84"/>
      <c r="H212" s="84"/>
      <c r="I212" s="84"/>
      <c r="J212" s="84"/>
      <c r="L212" s="38"/>
      <c r="U212" s="573" t="s">
        <v>276</v>
      </c>
      <c r="V212" s="574"/>
      <c r="W212" s="18">
        <f>SUM(F212)</f>
        <v>40630.800000000003</v>
      </c>
      <c r="X212" s="14">
        <v>1</v>
      </c>
      <c r="BD212" s="62"/>
      <c r="BE212" s="121"/>
      <c r="BF212" s="475"/>
    </row>
    <row r="213" spans="1:58" s="7" customFormat="1" ht="12.75" customHeight="1" x14ac:dyDescent="0.3">
      <c r="A213" s="8"/>
      <c r="B213" s="70" t="s">
        <v>263</v>
      </c>
      <c r="C213" s="282" t="s">
        <v>116</v>
      </c>
      <c r="D213" s="282">
        <v>6898</v>
      </c>
      <c r="E213" s="282" t="s">
        <v>112</v>
      </c>
      <c r="F213" s="283">
        <v>119172.22</v>
      </c>
      <c r="G213" s="84"/>
      <c r="H213" s="84"/>
      <c r="I213" s="84"/>
      <c r="J213" s="84"/>
      <c r="L213" s="38"/>
      <c r="U213" s="473"/>
      <c r="V213" s="474"/>
      <c r="W213" s="18"/>
      <c r="X213" s="14"/>
      <c r="BD213" s="62"/>
      <c r="BE213" s="121"/>
      <c r="BF213" s="475"/>
    </row>
    <row r="214" spans="1:58" s="7" customFormat="1" ht="12.75" customHeight="1" x14ac:dyDescent="0.3">
      <c r="A214" s="8"/>
      <c r="B214" s="21"/>
      <c r="C214" s="244" t="s">
        <v>115</v>
      </c>
      <c r="D214" s="244">
        <v>4318254</v>
      </c>
      <c r="E214" s="244" t="s">
        <v>114</v>
      </c>
      <c r="F214" s="281">
        <v>40630.800000000003</v>
      </c>
      <c r="G214" s="84"/>
      <c r="H214" s="84"/>
      <c r="I214" s="84"/>
      <c r="J214" s="84"/>
      <c r="L214" s="38"/>
      <c r="U214" s="573" t="s">
        <v>277</v>
      </c>
      <c r="V214" s="574"/>
      <c r="W214" s="18">
        <f>SUM(W212)</f>
        <v>40630.800000000003</v>
      </c>
      <c r="X214" s="14">
        <v>1</v>
      </c>
      <c r="BD214" s="62"/>
      <c r="BE214" s="121"/>
      <c r="BF214" s="475"/>
    </row>
    <row r="215" spans="1:58" s="7" customFormat="1" ht="12.75" customHeight="1" x14ac:dyDescent="0.3">
      <c r="A215" s="8"/>
      <c r="B215" s="70" t="s">
        <v>263</v>
      </c>
      <c r="C215" s="282" t="s">
        <v>113</v>
      </c>
      <c r="D215" s="282">
        <v>6901</v>
      </c>
      <c r="E215" s="282" t="s">
        <v>112</v>
      </c>
      <c r="F215" s="283">
        <v>119172.22</v>
      </c>
      <c r="G215" s="84"/>
      <c r="H215" s="84"/>
      <c r="I215" s="84"/>
      <c r="J215" s="84"/>
      <c r="L215" s="38"/>
      <c r="U215" s="22"/>
      <c r="V215" s="14"/>
      <c r="W215" s="15"/>
      <c r="X215" s="14"/>
      <c r="BD215" s="62"/>
      <c r="BE215" s="121"/>
      <c r="BF215" s="475"/>
    </row>
    <row r="216" spans="1:58" s="7" customFormat="1" ht="12.75" customHeight="1" x14ac:dyDescent="0.3">
      <c r="A216" s="8"/>
      <c r="B216" s="278"/>
      <c r="C216" s="278"/>
      <c r="D216" s="278"/>
      <c r="E216" s="278"/>
      <c r="F216" s="284"/>
      <c r="G216" s="84"/>
      <c r="H216" s="84"/>
      <c r="I216" s="84"/>
      <c r="J216" s="84"/>
      <c r="L216" s="38"/>
      <c r="U216" s="121"/>
      <c r="BD216" s="62"/>
      <c r="BE216" s="121"/>
      <c r="BF216" s="475"/>
    </row>
    <row r="217" spans="1:58" s="7" customFormat="1" x14ac:dyDescent="0.3">
      <c r="A217" s="575" t="s">
        <v>111</v>
      </c>
      <c r="B217" s="575"/>
      <c r="C217" s="575"/>
      <c r="D217" s="285">
        <f>SUM(103+39+45+51+36+12)/6</f>
        <v>47.666666666666664</v>
      </c>
      <c r="E217" s="286" t="s">
        <v>109</v>
      </c>
      <c r="F217" s="287">
        <f>SUM(C214+D217)</f>
        <v>43899.666666666664</v>
      </c>
      <c r="G217" s="84"/>
      <c r="H217" s="84"/>
      <c r="I217" s="84"/>
      <c r="J217" s="84"/>
      <c r="L217" s="38"/>
      <c r="U217" s="122">
        <f>SUM(F217+D217)</f>
        <v>43947.333333333328</v>
      </c>
      <c r="V217" s="10">
        <f>SUM(U217+D217)</f>
        <v>43994.999999999993</v>
      </c>
      <c r="W217" s="9">
        <f>SUM(V217+D217)</f>
        <v>44042.666666666657</v>
      </c>
      <c r="X217" s="9">
        <f>SUM(W217+D217)</f>
        <v>44090.333333333321</v>
      </c>
      <c r="BD217" s="62"/>
      <c r="BE217" s="121"/>
      <c r="BF217" s="475"/>
    </row>
    <row r="218" spans="1:58" s="7" customFormat="1" x14ac:dyDescent="0.3">
      <c r="A218" s="575" t="s">
        <v>110</v>
      </c>
      <c r="B218" s="575"/>
      <c r="C218" s="575"/>
      <c r="D218" s="285">
        <f>SUM(100+96)/2</f>
        <v>98</v>
      </c>
      <c r="E218" s="286" t="s">
        <v>109</v>
      </c>
      <c r="F218" s="287">
        <f>SUM(C207+D218)</f>
        <v>43902</v>
      </c>
      <c r="G218" s="84"/>
      <c r="H218" s="84"/>
      <c r="I218" s="84"/>
      <c r="J218" s="84"/>
      <c r="L218" s="38"/>
      <c r="U218" s="122">
        <f>SUM(F218+D218)</f>
        <v>44000</v>
      </c>
      <c r="V218" s="10">
        <f>SUM(U218+D218)</f>
        <v>44098</v>
      </c>
      <c r="W218" s="9">
        <f>SUM(V218+D218)</f>
        <v>44196</v>
      </c>
      <c r="X218" s="9">
        <f>SUM(W218+D218)</f>
        <v>44294</v>
      </c>
      <c r="BD218" s="62"/>
      <c r="BE218" s="121"/>
      <c r="BF218" s="475"/>
    </row>
  </sheetData>
  <mergeCells count="22">
    <mergeCell ref="U212:V212"/>
    <mergeCell ref="U214:V214"/>
    <mergeCell ref="A217:C217"/>
    <mergeCell ref="A218:C218"/>
    <mergeCell ref="U195:V195"/>
    <mergeCell ref="U198:V198"/>
    <mergeCell ref="U199:V199"/>
    <mergeCell ref="U204:V204"/>
    <mergeCell ref="U207:V207"/>
    <mergeCell ref="U208:V208"/>
    <mergeCell ref="D194:E194"/>
    <mergeCell ref="A1:G1"/>
    <mergeCell ref="A2:G2"/>
    <mergeCell ref="A3:F3"/>
    <mergeCell ref="G4:J4"/>
    <mergeCell ref="H44:I44"/>
    <mergeCell ref="H83:I83"/>
    <mergeCell ref="H118:I118"/>
    <mergeCell ref="H148:I148"/>
    <mergeCell ref="H180:I180"/>
    <mergeCell ref="B192:X192"/>
    <mergeCell ref="B193:X193"/>
  </mergeCells>
  <printOptions horizontalCentered="1" verticalCentered="1"/>
  <pageMargins left="0.25" right="0.25" top="0.25" bottom="0.5" header="0" footer="0"/>
  <pageSetup scale="89" fitToHeight="3" orientation="portrait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FB245-893B-4146-B4A6-04B2141B2C00}">
  <sheetPr codeName="Sheet6">
    <pageSetUpPr fitToPage="1"/>
  </sheetPr>
  <dimension ref="A1:O103"/>
  <sheetViews>
    <sheetView workbookViewId="0">
      <pane ySplit="5" topLeftCell="A54" activePane="bottomLeft" state="frozen"/>
      <selection activeCell="A5" sqref="A5"/>
      <selection pane="bottomLeft" activeCell="B4" sqref="B4"/>
    </sheetView>
  </sheetViews>
  <sheetFormatPr defaultColWidth="9.109375" defaultRowHeight="14.4" x14ac:dyDescent="0.3"/>
  <cols>
    <col min="1" max="1" width="36.33203125" style="97" customWidth="1"/>
    <col min="2" max="7" width="10.44140625" style="97" bestFit="1" customWidth="1"/>
    <col min="8" max="8" width="10.109375" style="97" bestFit="1" customWidth="1"/>
    <col min="9" max="10" width="11" style="97" bestFit="1" customWidth="1"/>
    <col min="11" max="13" width="10.109375" style="97" bestFit="1" customWidth="1"/>
    <col min="14" max="14" width="11.6640625" style="97" bestFit="1" customWidth="1"/>
    <col min="15" max="15" width="18" style="7" bestFit="1" customWidth="1"/>
    <col min="16" max="16384" width="9.109375" style="97"/>
  </cols>
  <sheetData>
    <row r="1" spans="1:15" ht="17.399999999999999" x14ac:dyDescent="0.3">
      <c r="A1" s="593" t="s">
        <v>108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</row>
    <row r="2" spans="1:15" ht="17.399999999999999" x14ac:dyDescent="0.3">
      <c r="A2" s="594" t="s">
        <v>371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</row>
    <row r="3" spans="1:15" x14ac:dyDescent="0.3">
      <c r="A3" s="587" t="s">
        <v>395</v>
      </c>
      <c r="B3" s="582"/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</row>
    <row r="5" spans="1:15" x14ac:dyDescent="0.3">
      <c r="A5" s="221"/>
      <c r="B5" s="222" t="s">
        <v>0</v>
      </c>
      <c r="C5" s="222" t="s">
        <v>1</v>
      </c>
      <c r="D5" s="222" t="s">
        <v>2</v>
      </c>
      <c r="E5" s="222" t="s">
        <v>3</v>
      </c>
      <c r="F5" s="222" t="s">
        <v>4</v>
      </c>
      <c r="G5" s="222" t="s">
        <v>5</v>
      </c>
      <c r="H5" s="222" t="s">
        <v>6</v>
      </c>
      <c r="I5" s="222" t="s">
        <v>7</v>
      </c>
      <c r="J5" s="222" t="s">
        <v>8</v>
      </c>
      <c r="K5" s="222" t="s">
        <v>9</v>
      </c>
      <c r="L5" s="222" t="s">
        <v>10</v>
      </c>
      <c r="M5" s="222" t="s">
        <v>11</v>
      </c>
      <c r="N5" s="222" t="s">
        <v>12</v>
      </c>
      <c r="O5" s="223" t="s">
        <v>349</v>
      </c>
    </row>
    <row r="6" spans="1:15" x14ac:dyDescent="0.3">
      <c r="A6" s="1" t="s">
        <v>13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x14ac:dyDescent="0.3">
      <c r="A7" s="1" t="s">
        <v>14</v>
      </c>
      <c r="B7" s="127">
        <f t="shared" ref="B7:M7" si="0">78541.42</f>
        <v>78541.42</v>
      </c>
      <c r="C7" s="127">
        <f t="shared" si="0"/>
        <v>78541.42</v>
      </c>
      <c r="D7" s="127">
        <f t="shared" si="0"/>
        <v>78541.42</v>
      </c>
      <c r="E7" s="127">
        <f t="shared" si="0"/>
        <v>78541.42</v>
      </c>
      <c r="F7" s="127">
        <f t="shared" si="0"/>
        <v>78541.42</v>
      </c>
      <c r="G7" s="127">
        <f t="shared" si="0"/>
        <v>78541.42</v>
      </c>
      <c r="H7" s="127">
        <f t="shared" si="0"/>
        <v>78541.42</v>
      </c>
      <c r="I7" s="127">
        <f t="shared" si="0"/>
        <v>78541.42</v>
      </c>
      <c r="J7" s="127">
        <f t="shared" si="0"/>
        <v>78541.42</v>
      </c>
      <c r="K7" s="127">
        <f t="shared" si="0"/>
        <v>78541.42</v>
      </c>
      <c r="L7" s="127">
        <f t="shared" si="0"/>
        <v>78541.42</v>
      </c>
      <c r="M7" s="127">
        <f t="shared" si="0"/>
        <v>78541.42</v>
      </c>
      <c r="N7" s="127">
        <f t="shared" ref="N7:N16" si="1">(((((((((((B7)+(C7))+(D7))+(E7))+(F7))+(G7))+(H7))+(I7))+(J7))+(K7))+(L7))+(M7)</f>
        <v>942497.04000000015</v>
      </c>
      <c r="O7" s="7" t="s">
        <v>350</v>
      </c>
    </row>
    <row r="8" spans="1:15" x14ac:dyDescent="0.3">
      <c r="A8" s="1" t="s">
        <v>15</v>
      </c>
      <c r="B8" s="2"/>
      <c r="C8" s="2"/>
      <c r="D8" s="2"/>
      <c r="E8" s="3">
        <f>66168.41</f>
        <v>66168.41</v>
      </c>
      <c r="F8" s="2"/>
      <c r="G8" s="2"/>
      <c r="H8" s="2"/>
      <c r="I8" s="2"/>
      <c r="J8" s="2"/>
      <c r="K8" s="2"/>
      <c r="L8" s="2"/>
      <c r="M8" s="2"/>
      <c r="N8" s="3">
        <f t="shared" si="1"/>
        <v>66168.41</v>
      </c>
    </row>
    <row r="9" spans="1:15" x14ac:dyDescent="0.3">
      <c r="A9" s="1" t="s">
        <v>16</v>
      </c>
      <c r="B9" s="127">
        <f t="shared" ref="B9:M9" si="2">40630.8</f>
        <v>40630.800000000003</v>
      </c>
      <c r="C9" s="127">
        <f t="shared" si="2"/>
        <v>40630.800000000003</v>
      </c>
      <c r="D9" s="127">
        <f t="shared" si="2"/>
        <v>40630.800000000003</v>
      </c>
      <c r="E9" s="127">
        <f t="shared" si="2"/>
        <v>40630.800000000003</v>
      </c>
      <c r="F9" s="127">
        <f t="shared" si="2"/>
        <v>40630.800000000003</v>
      </c>
      <c r="G9" s="127">
        <f t="shared" si="2"/>
        <v>40630.800000000003</v>
      </c>
      <c r="H9" s="127">
        <f t="shared" si="2"/>
        <v>40630.800000000003</v>
      </c>
      <c r="I9" s="127">
        <f t="shared" si="2"/>
        <v>40630.800000000003</v>
      </c>
      <c r="J9" s="127">
        <f t="shared" si="2"/>
        <v>40630.800000000003</v>
      </c>
      <c r="K9" s="127">
        <f t="shared" si="2"/>
        <v>40630.800000000003</v>
      </c>
      <c r="L9" s="127">
        <f t="shared" si="2"/>
        <v>40630.800000000003</v>
      </c>
      <c r="M9" s="127">
        <f t="shared" si="2"/>
        <v>40630.800000000003</v>
      </c>
      <c r="N9" s="127">
        <f t="shared" si="1"/>
        <v>487569.59999999992</v>
      </c>
      <c r="O9" s="7" t="s">
        <v>350</v>
      </c>
    </row>
    <row r="10" spans="1:15" x14ac:dyDescent="0.3">
      <c r="A10" s="1" t="s">
        <v>17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>
        <f t="shared" si="1"/>
        <v>0</v>
      </c>
    </row>
    <row r="11" spans="1:15" x14ac:dyDescent="0.3">
      <c r="A11" s="1" t="s">
        <v>18</v>
      </c>
      <c r="B11" s="2"/>
      <c r="C11" s="2"/>
      <c r="D11" s="3">
        <f>0</f>
        <v>0</v>
      </c>
      <c r="E11" s="2"/>
      <c r="F11" s="2"/>
      <c r="G11" s="2"/>
      <c r="H11" s="2"/>
      <c r="I11" s="2"/>
      <c r="J11" s="2"/>
      <c r="K11" s="2"/>
      <c r="L11" s="2"/>
      <c r="M11" s="2"/>
      <c r="N11" s="3">
        <f t="shared" si="1"/>
        <v>0</v>
      </c>
    </row>
    <row r="12" spans="1:15" x14ac:dyDescent="0.3">
      <c r="A12" s="1" t="s">
        <v>19</v>
      </c>
      <c r="B12" s="2"/>
      <c r="C12" s="3">
        <f>1350</f>
        <v>1350</v>
      </c>
      <c r="D12" s="3">
        <f>500</f>
        <v>500</v>
      </c>
      <c r="E12" s="2"/>
      <c r="F12" s="3">
        <f>850</f>
        <v>850</v>
      </c>
      <c r="G12" s="2"/>
      <c r="H12" s="2"/>
      <c r="I12" s="2"/>
      <c r="J12" s="2"/>
      <c r="K12" s="2"/>
      <c r="L12" s="2"/>
      <c r="M12" s="2"/>
      <c r="N12" s="3">
        <f t="shared" si="1"/>
        <v>2700</v>
      </c>
    </row>
    <row r="13" spans="1:15" x14ac:dyDescent="0.3">
      <c r="A13" s="1" t="s">
        <v>20</v>
      </c>
      <c r="B13" s="3">
        <f>31.77</f>
        <v>31.77</v>
      </c>
      <c r="C13" s="3">
        <f>24.2</f>
        <v>24.2</v>
      </c>
      <c r="D13" s="3">
        <f>17.23</f>
        <v>17.23</v>
      </c>
      <c r="E13" s="3">
        <f>21.93</f>
        <v>21.93</v>
      </c>
      <c r="F13" s="3">
        <f>15.4</f>
        <v>15.4</v>
      </c>
      <c r="G13" s="3">
        <f>28.69</f>
        <v>28.69</v>
      </c>
      <c r="H13" s="2"/>
      <c r="I13" s="2"/>
      <c r="J13" s="2"/>
      <c r="K13" s="2"/>
      <c r="L13" s="2"/>
      <c r="M13" s="2"/>
      <c r="N13" s="3">
        <f t="shared" si="1"/>
        <v>139.22</v>
      </c>
    </row>
    <row r="14" spans="1:15" x14ac:dyDescent="0.3">
      <c r="A14" s="1" t="s">
        <v>21</v>
      </c>
      <c r="B14" s="4">
        <f t="shared" ref="B14:M14" si="3">(((B10)+(B11))+(B12))+(B13)</f>
        <v>31.77</v>
      </c>
      <c r="C14" s="4">
        <f t="shared" si="3"/>
        <v>1374.2</v>
      </c>
      <c r="D14" s="4">
        <f t="shared" si="3"/>
        <v>517.23</v>
      </c>
      <c r="E14" s="4">
        <f t="shared" si="3"/>
        <v>21.93</v>
      </c>
      <c r="F14" s="4">
        <f t="shared" si="3"/>
        <v>865.4</v>
      </c>
      <c r="G14" s="4">
        <f t="shared" si="3"/>
        <v>28.69</v>
      </c>
      <c r="H14" s="4">
        <f t="shared" si="3"/>
        <v>0</v>
      </c>
      <c r="I14" s="4">
        <f t="shared" si="3"/>
        <v>0</v>
      </c>
      <c r="J14" s="4">
        <f t="shared" si="3"/>
        <v>0</v>
      </c>
      <c r="K14" s="4">
        <f t="shared" si="3"/>
        <v>0</v>
      </c>
      <c r="L14" s="4">
        <f t="shared" si="3"/>
        <v>0</v>
      </c>
      <c r="M14" s="4">
        <f t="shared" si="3"/>
        <v>0</v>
      </c>
      <c r="N14" s="4">
        <f t="shared" si="1"/>
        <v>2839.2200000000003</v>
      </c>
    </row>
    <row r="15" spans="1:15" x14ac:dyDescent="0.3">
      <c r="A15" s="1" t="s">
        <v>22</v>
      </c>
      <c r="B15" s="4">
        <f t="shared" ref="B15:M15" si="4">(((B7)+(B8))+(B9))+(B14)</f>
        <v>119203.99</v>
      </c>
      <c r="C15" s="4">
        <f t="shared" si="4"/>
        <v>120546.42</v>
      </c>
      <c r="D15" s="4">
        <f t="shared" si="4"/>
        <v>119689.45</v>
      </c>
      <c r="E15" s="4">
        <f t="shared" si="4"/>
        <v>185362.56</v>
      </c>
      <c r="F15" s="4">
        <f t="shared" si="4"/>
        <v>120037.62</v>
      </c>
      <c r="G15" s="4">
        <f t="shared" si="4"/>
        <v>119200.91</v>
      </c>
      <c r="H15" s="4">
        <f t="shared" si="4"/>
        <v>119172.22</v>
      </c>
      <c r="I15" s="4">
        <f t="shared" si="4"/>
        <v>119172.22</v>
      </c>
      <c r="J15" s="4">
        <f t="shared" si="4"/>
        <v>119172.22</v>
      </c>
      <c r="K15" s="4">
        <f t="shared" si="4"/>
        <v>119172.22</v>
      </c>
      <c r="L15" s="4">
        <f t="shared" si="4"/>
        <v>119172.22</v>
      </c>
      <c r="M15" s="4">
        <f t="shared" si="4"/>
        <v>119172.22</v>
      </c>
      <c r="N15" s="4">
        <f t="shared" si="1"/>
        <v>1499074.2699999998</v>
      </c>
    </row>
    <row r="16" spans="1:15" x14ac:dyDescent="0.3">
      <c r="A16" s="1" t="s">
        <v>23</v>
      </c>
      <c r="B16" s="4">
        <f t="shared" ref="B16:M16" si="5">(B15)-(0)</f>
        <v>119203.99</v>
      </c>
      <c r="C16" s="4">
        <f t="shared" si="5"/>
        <v>120546.42</v>
      </c>
      <c r="D16" s="4">
        <f t="shared" si="5"/>
        <v>119689.45</v>
      </c>
      <c r="E16" s="4">
        <f t="shared" si="5"/>
        <v>185362.56</v>
      </c>
      <c r="F16" s="4">
        <f t="shared" si="5"/>
        <v>120037.62</v>
      </c>
      <c r="G16" s="4">
        <f t="shared" si="5"/>
        <v>119200.91</v>
      </c>
      <c r="H16" s="4">
        <f t="shared" si="5"/>
        <v>119172.22</v>
      </c>
      <c r="I16" s="4">
        <f t="shared" si="5"/>
        <v>119172.22</v>
      </c>
      <c r="J16" s="4">
        <f t="shared" si="5"/>
        <v>119172.22</v>
      </c>
      <c r="K16" s="4">
        <f t="shared" si="5"/>
        <v>119172.22</v>
      </c>
      <c r="L16" s="4">
        <f t="shared" si="5"/>
        <v>119172.22</v>
      </c>
      <c r="M16" s="4">
        <f t="shared" si="5"/>
        <v>119172.22</v>
      </c>
      <c r="N16" s="4">
        <f t="shared" si="1"/>
        <v>1499074.2699999998</v>
      </c>
    </row>
    <row r="17" spans="1:15" x14ac:dyDescent="0.3">
      <c r="A17" s="1" t="s">
        <v>24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5" x14ac:dyDescent="0.3">
      <c r="A18" s="1" t="s">
        <v>25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>
        <f t="shared" ref="N18:N81" si="6">(((((((((((B18)+(C18))+(D18))+(E18))+(F18))+(G18))+(H18))+(I18))+(J18))+(K18))+(L18))+(M18)</f>
        <v>0</v>
      </c>
    </row>
    <row r="19" spans="1:15" x14ac:dyDescent="0.3">
      <c r="A19" s="1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>
        <f t="shared" si="6"/>
        <v>0</v>
      </c>
    </row>
    <row r="20" spans="1:15" x14ac:dyDescent="0.3">
      <c r="A20" s="1" t="s">
        <v>27</v>
      </c>
      <c r="B20" s="3">
        <f>5752.66</f>
        <v>5752.66</v>
      </c>
      <c r="C20" s="3">
        <f>98839.1</f>
        <v>98839.1</v>
      </c>
      <c r="D20" s="3">
        <f>42619.08</f>
        <v>42619.08</v>
      </c>
      <c r="E20" s="3">
        <f>44361.54</f>
        <v>44361.54</v>
      </c>
      <c r="F20" s="3">
        <f>49826.45</f>
        <v>49826.45</v>
      </c>
      <c r="G20" s="3">
        <f>5942.45</f>
        <v>5942.45</v>
      </c>
      <c r="H20" s="3">
        <f>7705.85</f>
        <v>7705.85</v>
      </c>
      <c r="I20" s="227">
        <f>1250+'BB Example 4 _ Cash Flows'!AA51</f>
        <v>12625</v>
      </c>
      <c r="J20" s="226">
        <f>+'BB Example 4 _ Cash Flows'!AA84</f>
        <v>5375</v>
      </c>
      <c r="K20" s="226">
        <f>+'BB Example 4 _ Cash Flows'!AA113</f>
        <v>5375</v>
      </c>
      <c r="L20" s="226">
        <f>+'BB Example 4 _ Cash Flows'!AA140</f>
        <v>5375</v>
      </c>
      <c r="M20" s="226">
        <f>+'BB Example 4 _ Cash Flows'!AA169</f>
        <v>5375</v>
      </c>
      <c r="N20" s="227">
        <f t="shared" si="6"/>
        <v>289172.13</v>
      </c>
      <c r="O20" s="228" t="s">
        <v>354</v>
      </c>
    </row>
    <row r="21" spans="1:15" x14ac:dyDescent="0.3">
      <c r="A21" s="1" t="s">
        <v>28</v>
      </c>
      <c r="B21" s="2"/>
      <c r="C21" s="2"/>
      <c r="D21" s="3">
        <f>9085</f>
        <v>9085</v>
      </c>
      <c r="E21" s="2"/>
      <c r="F21" s="2"/>
      <c r="G21" s="2"/>
      <c r="H21" s="126"/>
      <c r="I21" s="126"/>
      <c r="J21" s="126"/>
      <c r="K21" s="126"/>
      <c r="L21" s="126"/>
      <c r="M21" s="126"/>
      <c r="N21" s="3">
        <f t="shared" si="6"/>
        <v>9085</v>
      </c>
    </row>
    <row r="22" spans="1:15" x14ac:dyDescent="0.3">
      <c r="A22" s="1" t="s">
        <v>29</v>
      </c>
      <c r="B22" s="2"/>
      <c r="C22" s="2"/>
      <c r="D22" s="2"/>
      <c r="E22" s="2"/>
      <c r="F22" s="2"/>
      <c r="G22" s="3">
        <f>1500</f>
        <v>1500</v>
      </c>
      <c r="H22" s="126"/>
      <c r="I22" s="3">
        <f>1500</f>
        <v>1500</v>
      </c>
      <c r="J22" s="126"/>
      <c r="K22" s="126"/>
      <c r="L22" s="126"/>
      <c r="M22" s="126"/>
      <c r="N22" s="3">
        <f t="shared" si="6"/>
        <v>3000</v>
      </c>
    </row>
    <row r="23" spans="1:15" x14ac:dyDescent="0.3">
      <c r="A23" s="1" t="s">
        <v>30</v>
      </c>
      <c r="B23" s="2"/>
      <c r="C23" s="3">
        <f>5060</f>
        <v>5060</v>
      </c>
      <c r="D23" s="2"/>
      <c r="E23" s="2"/>
      <c r="F23" s="2"/>
      <c r="G23" s="2"/>
      <c r="H23" s="126"/>
      <c r="I23" s="126"/>
      <c r="J23" s="126"/>
      <c r="K23" s="126"/>
      <c r="L23" s="126"/>
      <c r="M23" s="126"/>
      <c r="N23" s="3">
        <f t="shared" si="6"/>
        <v>5060</v>
      </c>
    </row>
    <row r="24" spans="1:15" x14ac:dyDescent="0.3">
      <c r="A24" s="1" t="s">
        <v>31</v>
      </c>
      <c r="B24" s="3">
        <f>146.72</f>
        <v>146.72</v>
      </c>
      <c r="C24" s="2"/>
      <c r="D24" s="3">
        <f>9243</f>
        <v>9243</v>
      </c>
      <c r="E24" s="3">
        <f>7883.35</f>
        <v>7883.35</v>
      </c>
      <c r="F24" s="3">
        <f>216</f>
        <v>216</v>
      </c>
      <c r="G24" s="3">
        <f>809.77</f>
        <v>809.77</v>
      </c>
      <c r="H24" s="126"/>
      <c r="I24" s="126"/>
      <c r="J24" s="126"/>
      <c r="K24" s="126"/>
      <c r="L24" s="126"/>
      <c r="M24" s="126"/>
      <c r="N24" s="3">
        <f t="shared" si="6"/>
        <v>18298.84</v>
      </c>
    </row>
    <row r="25" spans="1:15" x14ac:dyDescent="0.3">
      <c r="A25" s="1" t="s">
        <v>32</v>
      </c>
      <c r="B25" s="2"/>
      <c r="C25" s="2"/>
      <c r="D25" s="2"/>
      <c r="E25" s="3">
        <f>2100</f>
        <v>2100</v>
      </c>
      <c r="F25" s="3">
        <f>1298</f>
        <v>1298</v>
      </c>
      <c r="G25" s="2"/>
      <c r="H25" s="126"/>
      <c r="I25" s="126"/>
      <c r="J25" s="126"/>
      <c r="K25" s="126"/>
      <c r="L25" s="126"/>
      <c r="M25" s="126"/>
      <c r="N25" s="3">
        <f t="shared" si="6"/>
        <v>3398</v>
      </c>
    </row>
    <row r="26" spans="1:15" x14ac:dyDescent="0.3">
      <c r="A26" s="1" t="s">
        <v>33</v>
      </c>
      <c r="B26" s="4">
        <f t="shared" ref="B26:M26" si="7">((((((B19)+(B20))+(B21))+(B22))+(B23))+(B24))+(B25)</f>
        <v>5899.38</v>
      </c>
      <c r="C26" s="4">
        <f t="shared" si="7"/>
        <v>103899.1</v>
      </c>
      <c r="D26" s="4">
        <f t="shared" si="7"/>
        <v>60947.08</v>
      </c>
      <c r="E26" s="4">
        <f t="shared" si="7"/>
        <v>54344.89</v>
      </c>
      <c r="F26" s="4">
        <f t="shared" si="7"/>
        <v>51340.45</v>
      </c>
      <c r="G26" s="4">
        <f t="shared" si="7"/>
        <v>8252.2199999999993</v>
      </c>
      <c r="H26" s="4">
        <f t="shared" si="7"/>
        <v>7705.85</v>
      </c>
      <c r="I26" s="4">
        <f t="shared" si="7"/>
        <v>14125</v>
      </c>
      <c r="J26" s="4">
        <f t="shared" si="7"/>
        <v>5375</v>
      </c>
      <c r="K26" s="4">
        <f t="shared" si="7"/>
        <v>5375</v>
      </c>
      <c r="L26" s="4">
        <f t="shared" si="7"/>
        <v>5375</v>
      </c>
      <c r="M26" s="4">
        <f t="shared" si="7"/>
        <v>5375</v>
      </c>
      <c r="N26" s="4">
        <f t="shared" si="6"/>
        <v>328013.96999999997</v>
      </c>
    </row>
    <row r="27" spans="1:15" x14ac:dyDescent="0.3">
      <c r="A27" s="1" t="s">
        <v>34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>
        <f t="shared" si="6"/>
        <v>0</v>
      </c>
    </row>
    <row r="28" spans="1:15" x14ac:dyDescent="0.3">
      <c r="A28" s="1" t="s">
        <v>35</v>
      </c>
      <c r="B28" s="3">
        <f>7500</f>
        <v>7500</v>
      </c>
      <c r="C28" s="3">
        <f>7500</f>
        <v>7500</v>
      </c>
      <c r="D28" s="3">
        <f>7500</f>
        <v>7500</v>
      </c>
      <c r="E28" s="3">
        <f>7500</f>
        <v>7500</v>
      </c>
      <c r="F28" s="3">
        <f>7500</f>
        <v>7500</v>
      </c>
      <c r="G28" s="3">
        <f>7500</f>
        <v>7500</v>
      </c>
      <c r="H28" s="3">
        <f>7500</f>
        <v>7500</v>
      </c>
      <c r="I28" s="2">
        <f>'Example 1 _ Cash Flows'!AB51</f>
        <v>7500</v>
      </c>
      <c r="J28" s="2">
        <f>'Example 1 _ Cash Flows'!AB83</f>
        <v>7500</v>
      </c>
      <c r="K28" s="2">
        <f>'Example 1 _ Cash Flows'!AB112</f>
        <v>7500</v>
      </c>
      <c r="L28" s="2">
        <f>'Example 1 _ Cash Flows'!AB138</f>
        <v>7500</v>
      </c>
      <c r="M28" s="2">
        <f>'Example 1 _ Cash Flows'!AB166</f>
        <v>7500</v>
      </c>
      <c r="N28" s="3">
        <f t="shared" si="6"/>
        <v>90000</v>
      </c>
      <c r="O28" s="7" t="s">
        <v>355</v>
      </c>
    </row>
    <row r="29" spans="1:15" x14ac:dyDescent="0.3">
      <c r="A29" s="1" t="s">
        <v>36</v>
      </c>
      <c r="B29" s="3">
        <f>8333</f>
        <v>8333</v>
      </c>
      <c r="C29" s="3">
        <f>8333</f>
        <v>8333</v>
      </c>
      <c r="D29" s="3">
        <f>8333</f>
        <v>8333</v>
      </c>
      <c r="E29" s="3">
        <f>8333</f>
        <v>8333</v>
      </c>
      <c r="F29" s="3">
        <f>8333</f>
        <v>8333</v>
      </c>
      <c r="G29" s="3">
        <f>8479.22</f>
        <v>8479.2199999999993</v>
      </c>
      <c r="H29" s="3">
        <f>8333</f>
        <v>8333</v>
      </c>
      <c r="I29" s="2">
        <f>'Example 1 _ Cash Flows'!AE51</f>
        <v>8333</v>
      </c>
      <c r="J29" s="2">
        <f>'Example 1 _ Cash Flows'!AE83</f>
        <v>8333</v>
      </c>
      <c r="K29" s="2">
        <f>'Example 1 _ Cash Flows'!AE112</f>
        <v>8333</v>
      </c>
      <c r="L29" s="2">
        <f>'Example 1 _ Cash Flows'!AE138</f>
        <v>8333</v>
      </c>
      <c r="M29" s="2">
        <f>'Example 1 _ Cash Flows'!AE166</f>
        <v>8333</v>
      </c>
      <c r="N29" s="3">
        <f t="shared" si="6"/>
        <v>100142.22</v>
      </c>
      <c r="O29" s="7" t="s">
        <v>356</v>
      </c>
    </row>
    <row r="30" spans="1:15" x14ac:dyDescent="0.3">
      <c r="A30" s="1" t="s">
        <v>37</v>
      </c>
      <c r="B30" s="3">
        <f>451.66</f>
        <v>451.66</v>
      </c>
      <c r="C30" s="3">
        <f>558.8</f>
        <v>558.79999999999995</v>
      </c>
      <c r="D30" s="3">
        <f>508.52</f>
        <v>508.52</v>
      </c>
      <c r="E30" s="3">
        <f>572.5</f>
        <v>572.5</v>
      </c>
      <c r="F30" s="3">
        <f>572.5</f>
        <v>572.5</v>
      </c>
      <c r="G30" s="3">
        <f>503.66</f>
        <v>503.66</v>
      </c>
      <c r="H30" s="2">
        <v>575</v>
      </c>
      <c r="I30" s="2">
        <f>SUM('Example 1 _ Cash Flows'!AN51)</f>
        <v>625</v>
      </c>
      <c r="J30" s="2">
        <f>'Example 1 _ Cash Flows'!AN83</f>
        <v>625</v>
      </c>
      <c r="K30" s="2">
        <f>'Example 1 _ Cash Flows'!AN112</f>
        <v>625</v>
      </c>
      <c r="L30" s="2">
        <f>'Example 1 _ Cash Flows'!AN138</f>
        <v>625</v>
      </c>
      <c r="M30" s="2">
        <f>'Example 1 _ Cash Flows'!AN166</f>
        <v>625</v>
      </c>
      <c r="N30" s="3">
        <f t="shared" si="6"/>
        <v>6867.6399999999994</v>
      </c>
    </row>
    <row r="31" spans="1:15" x14ac:dyDescent="0.3">
      <c r="A31" s="1" t="s">
        <v>38</v>
      </c>
      <c r="B31" s="2"/>
      <c r="C31" s="3">
        <f>25.5</f>
        <v>25.5</v>
      </c>
      <c r="D31" s="3">
        <f>500</f>
        <v>500</v>
      </c>
      <c r="E31" s="2"/>
      <c r="F31" s="3">
        <f>746</f>
        <v>746</v>
      </c>
      <c r="G31" s="126"/>
      <c r="H31" s="126"/>
      <c r="I31" s="126"/>
      <c r="J31" s="126"/>
      <c r="K31" s="126"/>
      <c r="L31" s="126"/>
      <c r="M31" s="126"/>
      <c r="N31" s="3">
        <f t="shared" si="6"/>
        <v>1271.5</v>
      </c>
    </row>
    <row r="32" spans="1:15" x14ac:dyDescent="0.3">
      <c r="A32" s="1" t="s">
        <v>39</v>
      </c>
      <c r="B32" s="3">
        <f>995</f>
        <v>995</v>
      </c>
      <c r="C32" s="2"/>
      <c r="D32" s="2"/>
      <c r="E32" s="2"/>
      <c r="F32" s="2"/>
      <c r="G32" s="126"/>
      <c r="H32" s="126"/>
      <c r="I32" s="126"/>
      <c r="J32" s="126"/>
      <c r="K32" s="126"/>
      <c r="L32" s="126"/>
      <c r="M32" s="126"/>
      <c r="N32" s="3">
        <f t="shared" si="6"/>
        <v>995</v>
      </c>
    </row>
    <row r="33" spans="1:15" x14ac:dyDescent="0.3">
      <c r="A33" s="1" t="s">
        <v>40</v>
      </c>
      <c r="B33" s="3">
        <f>544.28</f>
        <v>544.28</v>
      </c>
      <c r="C33" s="2"/>
      <c r="D33" s="3">
        <f>1851.65</f>
        <v>1851.65</v>
      </c>
      <c r="E33" s="3">
        <f>1116.66</f>
        <v>1116.6600000000001</v>
      </c>
      <c r="F33" s="3">
        <f>42.84</f>
        <v>42.84</v>
      </c>
      <c r="G33" s="126"/>
      <c r="H33" s="126"/>
      <c r="I33" s="126"/>
      <c r="J33" s="126"/>
      <c r="K33" s="126"/>
      <c r="L33" s="126"/>
      <c r="M33" s="126"/>
      <c r="N33" s="3">
        <f t="shared" si="6"/>
        <v>3555.4300000000003</v>
      </c>
    </row>
    <row r="34" spans="1:15" x14ac:dyDescent="0.3">
      <c r="A34" s="1" t="s">
        <v>41</v>
      </c>
      <c r="B34" s="3">
        <f>213.97</f>
        <v>213.97</v>
      </c>
      <c r="C34" s="3">
        <f>0</f>
        <v>0</v>
      </c>
      <c r="D34" s="3">
        <f>399.06</f>
        <v>399.06</v>
      </c>
      <c r="E34" s="3">
        <f>294.16</f>
        <v>294.16000000000003</v>
      </c>
      <c r="F34" s="3">
        <f>110</f>
        <v>110</v>
      </c>
      <c r="G34" s="126"/>
      <c r="H34" s="126"/>
      <c r="I34" s="126"/>
      <c r="J34" s="126"/>
      <c r="K34" s="126"/>
      <c r="L34" s="126"/>
      <c r="M34" s="126"/>
      <c r="N34" s="3">
        <f t="shared" si="6"/>
        <v>1017.19</v>
      </c>
    </row>
    <row r="35" spans="1:15" x14ac:dyDescent="0.3">
      <c r="A35" s="1" t="s">
        <v>42</v>
      </c>
      <c r="B35" s="4">
        <f t="shared" ref="B35:M35" si="8">(((((((B27)+(B28))+(B29))+(B30))+(B31))+(B32))+(B33))+(B34)</f>
        <v>18037.91</v>
      </c>
      <c r="C35" s="4">
        <f t="shared" si="8"/>
        <v>16417.3</v>
      </c>
      <c r="D35" s="4">
        <f t="shared" si="8"/>
        <v>19092.230000000003</v>
      </c>
      <c r="E35" s="4">
        <f t="shared" si="8"/>
        <v>17816.32</v>
      </c>
      <c r="F35" s="4">
        <f t="shared" si="8"/>
        <v>17304.34</v>
      </c>
      <c r="G35" s="4">
        <f t="shared" si="8"/>
        <v>16482.88</v>
      </c>
      <c r="H35" s="4">
        <f t="shared" si="8"/>
        <v>16408</v>
      </c>
      <c r="I35" s="4">
        <f t="shared" si="8"/>
        <v>16458</v>
      </c>
      <c r="J35" s="4">
        <f t="shared" si="8"/>
        <v>16458</v>
      </c>
      <c r="K35" s="4">
        <f t="shared" si="8"/>
        <v>16458</v>
      </c>
      <c r="L35" s="4">
        <f t="shared" si="8"/>
        <v>16458</v>
      </c>
      <c r="M35" s="4">
        <f t="shared" si="8"/>
        <v>16458</v>
      </c>
      <c r="N35" s="4">
        <f t="shared" si="6"/>
        <v>203848.98</v>
      </c>
    </row>
    <row r="36" spans="1:15" x14ac:dyDescent="0.3">
      <c r="A36" s="1" t="s">
        <v>43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>
        <f t="shared" si="6"/>
        <v>0</v>
      </c>
    </row>
    <row r="37" spans="1:15" x14ac:dyDescent="0.3">
      <c r="A37" s="1" t="s">
        <v>44</v>
      </c>
      <c r="B37" s="3">
        <f>2500</f>
        <v>2500</v>
      </c>
      <c r="C37" s="3">
        <f>2500</f>
        <v>2500</v>
      </c>
      <c r="D37" s="3">
        <f>2500</f>
        <v>2500</v>
      </c>
      <c r="E37" s="3">
        <f>2500</f>
        <v>2500</v>
      </c>
      <c r="F37" s="3">
        <f>2500</f>
        <v>2500</v>
      </c>
      <c r="G37" s="3">
        <f>2500</f>
        <v>2500</v>
      </c>
      <c r="H37" s="2">
        <f>SUM('Example 1 _ Cash Flows'!Z17)</f>
        <v>2500</v>
      </c>
      <c r="I37" s="2">
        <f>'Example 1 _ Cash Flows'!Z51</f>
        <v>2500</v>
      </c>
      <c r="J37" s="2">
        <f>'Example 1 _ Cash Flows'!Z83</f>
        <v>2500</v>
      </c>
      <c r="K37" s="2">
        <f>'Example 1 _ Cash Flows'!Z112</f>
        <v>2500</v>
      </c>
      <c r="L37" s="2">
        <f>'Example 1 _ Cash Flows'!Z138</f>
        <v>2500</v>
      </c>
      <c r="M37" s="2">
        <f>'Example 1 _ Cash Flows'!Z166</f>
        <v>2500</v>
      </c>
      <c r="N37" s="3">
        <f t="shared" si="6"/>
        <v>30000</v>
      </c>
    </row>
    <row r="38" spans="1:15" x14ac:dyDescent="0.3">
      <c r="A38" s="1" t="s">
        <v>45</v>
      </c>
      <c r="B38" s="3">
        <f>1677.84</f>
        <v>1677.84</v>
      </c>
      <c r="C38" s="3">
        <f>1668.22</f>
        <v>1668.22</v>
      </c>
      <c r="D38" s="3">
        <f>1663.02</f>
        <v>1663.02</v>
      </c>
      <c r="E38" s="3">
        <f>1680.3</f>
        <v>1680.3</v>
      </c>
      <c r="F38" s="3">
        <f>1656</f>
        <v>1656</v>
      </c>
      <c r="G38" s="3">
        <f>1709</f>
        <v>1709</v>
      </c>
      <c r="H38" s="3">
        <f>1584</f>
        <v>1584</v>
      </c>
      <c r="I38" s="2">
        <f>'Example 1 _ Cash Flows'!AD51</f>
        <v>1674</v>
      </c>
      <c r="J38" s="2">
        <f>'Example 1 _ Cash Flows'!AD83</f>
        <v>1674</v>
      </c>
      <c r="K38" s="2">
        <f>'Example 1 _ Cash Flows'!AD112</f>
        <v>1674</v>
      </c>
      <c r="L38" s="2">
        <f>'Example 1 _ Cash Flows'!AD138</f>
        <v>1674</v>
      </c>
      <c r="M38" s="2">
        <f>'Example 1 _ Cash Flows'!AD166</f>
        <v>1674</v>
      </c>
      <c r="N38" s="3">
        <f t="shared" si="6"/>
        <v>20008.38</v>
      </c>
    </row>
    <row r="39" spans="1:15" x14ac:dyDescent="0.3">
      <c r="A39" s="1" t="s">
        <v>46</v>
      </c>
      <c r="B39" s="3">
        <f t="shared" ref="B39:G39" si="9">88.95</f>
        <v>88.95</v>
      </c>
      <c r="C39" s="3">
        <f t="shared" si="9"/>
        <v>88.95</v>
      </c>
      <c r="D39" s="3">
        <f t="shared" si="9"/>
        <v>88.95</v>
      </c>
      <c r="E39" s="3">
        <f t="shared" si="9"/>
        <v>88.95</v>
      </c>
      <c r="F39" s="3">
        <f t="shared" si="9"/>
        <v>88.95</v>
      </c>
      <c r="G39" s="3">
        <f t="shared" si="9"/>
        <v>88.95</v>
      </c>
      <c r="H39" s="2">
        <f>'Example 1 _ Cash Flows'!AQ17</f>
        <v>0</v>
      </c>
      <c r="I39" s="2">
        <f>'Example 1 _ Cash Flows'!AQ51</f>
        <v>111.1875</v>
      </c>
      <c r="J39" s="2">
        <f>'Example 1 _ Cash Flows'!AQ83</f>
        <v>111.1875</v>
      </c>
      <c r="K39" s="2">
        <f>'Example 1 _ Cash Flows'!AQ112</f>
        <v>111.1875</v>
      </c>
      <c r="L39" s="2">
        <f>'Example 1 _ Cash Flows'!AQ138</f>
        <v>111.1875</v>
      </c>
      <c r="M39" s="2">
        <f>'Example 1 _ Cash Flows'!AQ166</f>
        <v>111.1875</v>
      </c>
      <c r="N39" s="3">
        <f t="shared" si="6"/>
        <v>1089.6375</v>
      </c>
    </row>
    <row r="40" spans="1:15" x14ac:dyDescent="0.3">
      <c r="A40" s="1" t="s">
        <v>47</v>
      </c>
      <c r="B40" s="4">
        <f t="shared" ref="B40:M40" si="10">(((B36)+(B37))+(B38))+(B39)</f>
        <v>4266.79</v>
      </c>
      <c r="C40" s="4">
        <f t="shared" si="10"/>
        <v>4257.17</v>
      </c>
      <c r="D40" s="4">
        <f t="shared" si="10"/>
        <v>4251.97</v>
      </c>
      <c r="E40" s="4">
        <f t="shared" si="10"/>
        <v>4269.25</v>
      </c>
      <c r="F40" s="4">
        <f t="shared" si="10"/>
        <v>4244.95</v>
      </c>
      <c r="G40" s="4">
        <f t="shared" si="10"/>
        <v>4297.95</v>
      </c>
      <c r="H40" s="4">
        <f t="shared" si="10"/>
        <v>4084</v>
      </c>
      <c r="I40" s="4">
        <f t="shared" si="10"/>
        <v>4285.1875</v>
      </c>
      <c r="J40" s="4">
        <f t="shared" si="10"/>
        <v>4285.1875</v>
      </c>
      <c r="K40" s="4">
        <f t="shared" si="10"/>
        <v>4285.1875</v>
      </c>
      <c r="L40" s="4">
        <f t="shared" si="10"/>
        <v>4285.1875</v>
      </c>
      <c r="M40" s="4">
        <f t="shared" si="10"/>
        <v>4285.1875</v>
      </c>
      <c r="N40" s="4">
        <f t="shared" si="6"/>
        <v>51098.017500000002</v>
      </c>
    </row>
    <row r="41" spans="1:15" x14ac:dyDescent="0.3">
      <c r="A41" s="1" t="s">
        <v>48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>
        <f t="shared" si="6"/>
        <v>0</v>
      </c>
    </row>
    <row r="42" spans="1:15" x14ac:dyDescent="0.3">
      <c r="A42" s="1" t="s">
        <v>49</v>
      </c>
      <c r="B42" s="3">
        <f>6549.33</f>
        <v>6549.33</v>
      </c>
      <c r="C42" s="3">
        <f>201.7</f>
        <v>201.7</v>
      </c>
      <c r="D42" s="3">
        <f>664.45</f>
        <v>664.45</v>
      </c>
      <c r="E42" s="3">
        <f>51</f>
        <v>51</v>
      </c>
      <c r="F42" s="2"/>
      <c r="G42" s="2"/>
      <c r="H42" s="126"/>
      <c r="I42" s="126"/>
      <c r="J42" s="126"/>
      <c r="K42" s="126"/>
      <c r="L42" s="126"/>
      <c r="M42" s="126"/>
      <c r="N42" s="3">
        <f t="shared" si="6"/>
        <v>7466.48</v>
      </c>
    </row>
    <row r="43" spans="1:15" x14ac:dyDescent="0.3">
      <c r="A43" s="1" t="s">
        <v>50</v>
      </c>
      <c r="B43" s="2"/>
      <c r="C43" s="3">
        <f>265</f>
        <v>265</v>
      </c>
      <c r="D43" s="3">
        <f>275.75</f>
        <v>275.75</v>
      </c>
      <c r="E43" s="2"/>
      <c r="F43" s="2"/>
      <c r="G43" s="2"/>
      <c r="H43" s="127">
        <f>3300</f>
        <v>3300</v>
      </c>
      <c r="I43" s="127">
        <f>3570</f>
        <v>3570</v>
      </c>
      <c r="J43" s="127">
        <f>3570</f>
        <v>3570</v>
      </c>
      <c r="K43" s="126"/>
      <c r="L43" s="126"/>
      <c r="M43" s="126"/>
      <c r="N43" s="3">
        <f t="shared" si="6"/>
        <v>10980.75</v>
      </c>
    </row>
    <row r="44" spans="1:15" x14ac:dyDescent="0.3">
      <c r="A44" s="1" t="s">
        <v>51</v>
      </c>
      <c r="B44" s="3">
        <f>1064.15</f>
        <v>1064.1500000000001</v>
      </c>
      <c r="C44" s="2"/>
      <c r="D44" s="2"/>
      <c r="E44" s="2"/>
      <c r="F44" s="2"/>
      <c r="G44" s="2"/>
      <c r="H44" s="126"/>
      <c r="I44" s="126"/>
      <c r="J44" s="404">
        <f>SUM('BB Example 4 _ Cash Flows'!AW84)</f>
        <v>4500</v>
      </c>
      <c r="K44" s="126"/>
      <c r="L44" s="126"/>
      <c r="M44" s="126"/>
      <c r="N44" s="3">
        <f t="shared" si="6"/>
        <v>5564.15</v>
      </c>
      <c r="O44" s="228" t="s">
        <v>394</v>
      </c>
    </row>
    <row r="45" spans="1:15" x14ac:dyDescent="0.3">
      <c r="A45" s="1" t="s">
        <v>52</v>
      </c>
      <c r="B45" s="3">
        <f>381.67</f>
        <v>381.67</v>
      </c>
      <c r="C45" s="3">
        <f>32.76</f>
        <v>32.76</v>
      </c>
      <c r="D45" s="3">
        <f>962.9</f>
        <v>962.9</v>
      </c>
      <c r="E45" s="2"/>
      <c r="F45" s="3">
        <f>149.38</f>
        <v>149.38</v>
      </c>
      <c r="G45" s="3">
        <f>2168.9</f>
        <v>2168.9</v>
      </c>
      <c r="H45" s="126"/>
      <c r="I45" s="126"/>
      <c r="J45" s="126"/>
      <c r="K45" s="126"/>
      <c r="L45" s="126"/>
      <c r="M45" s="126"/>
      <c r="N45" s="3">
        <f t="shared" si="6"/>
        <v>3695.61</v>
      </c>
    </row>
    <row r="46" spans="1:15" x14ac:dyDescent="0.3">
      <c r="A46" s="1" t="s">
        <v>53</v>
      </c>
      <c r="B46" s="2"/>
      <c r="C46" s="2"/>
      <c r="D46" s="2"/>
      <c r="E46" s="3">
        <f>805</f>
        <v>805</v>
      </c>
      <c r="F46" s="2"/>
      <c r="G46" s="2"/>
      <c r="H46" s="126"/>
      <c r="I46" s="126"/>
      <c r="J46" s="126"/>
      <c r="K46" s="126"/>
      <c r="L46" s="126"/>
      <c r="M46" s="126"/>
      <c r="N46" s="3">
        <f t="shared" si="6"/>
        <v>805</v>
      </c>
    </row>
    <row r="47" spans="1:15" x14ac:dyDescent="0.3">
      <c r="A47" s="1" t="s">
        <v>54</v>
      </c>
      <c r="B47" s="4">
        <f t="shared" ref="B47:M47" si="11">(((((B41)+(B42))+(B43))+(B44))+(B45))+(B46)</f>
        <v>7995.15</v>
      </c>
      <c r="C47" s="4">
        <f t="shared" si="11"/>
        <v>499.46</v>
      </c>
      <c r="D47" s="4">
        <f t="shared" si="11"/>
        <v>1903.1</v>
      </c>
      <c r="E47" s="4">
        <f t="shared" si="11"/>
        <v>856</v>
      </c>
      <c r="F47" s="4">
        <f t="shared" si="11"/>
        <v>149.38</v>
      </c>
      <c r="G47" s="4">
        <f t="shared" si="11"/>
        <v>2168.9</v>
      </c>
      <c r="H47" s="4">
        <f t="shared" si="11"/>
        <v>3300</v>
      </c>
      <c r="I47" s="4">
        <f t="shared" si="11"/>
        <v>3570</v>
      </c>
      <c r="J47" s="4">
        <f t="shared" si="11"/>
        <v>8070</v>
      </c>
      <c r="K47" s="4">
        <f t="shared" si="11"/>
        <v>0</v>
      </c>
      <c r="L47" s="4">
        <f t="shared" si="11"/>
        <v>0</v>
      </c>
      <c r="M47" s="4">
        <f t="shared" si="11"/>
        <v>0</v>
      </c>
      <c r="N47" s="4">
        <f t="shared" si="6"/>
        <v>28511.989999999998</v>
      </c>
    </row>
    <row r="48" spans="1:15" x14ac:dyDescent="0.3">
      <c r="A48" s="1" t="s">
        <v>55</v>
      </c>
      <c r="B48" s="4">
        <f t="shared" ref="B48:M48" si="12">((((B18)+(B26))+(B35))+(B40))+(B47)</f>
        <v>36199.230000000003</v>
      </c>
      <c r="C48" s="4">
        <f t="shared" si="12"/>
        <v>125073.03000000001</v>
      </c>
      <c r="D48" s="4">
        <f t="shared" si="12"/>
        <v>86194.38</v>
      </c>
      <c r="E48" s="4">
        <f t="shared" si="12"/>
        <v>77286.459999999992</v>
      </c>
      <c r="F48" s="4">
        <f t="shared" si="12"/>
        <v>73039.12</v>
      </c>
      <c r="G48" s="4">
        <f t="shared" si="12"/>
        <v>31201.95</v>
      </c>
      <c r="H48" s="4">
        <f t="shared" si="12"/>
        <v>31497.85</v>
      </c>
      <c r="I48" s="4">
        <f t="shared" si="12"/>
        <v>38438.1875</v>
      </c>
      <c r="J48" s="4">
        <f t="shared" si="12"/>
        <v>34188.1875</v>
      </c>
      <c r="K48" s="4">
        <f t="shared" si="12"/>
        <v>26118.1875</v>
      </c>
      <c r="L48" s="4">
        <f t="shared" si="12"/>
        <v>26118.1875</v>
      </c>
      <c r="M48" s="4">
        <f t="shared" si="12"/>
        <v>26118.1875</v>
      </c>
      <c r="N48" s="4">
        <f t="shared" si="6"/>
        <v>611472.95750000002</v>
      </c>
    </row>
    <row r="49" spans="1:15" x14ac:dyDescent="0.3">
      <c r="A49" s="1" t="s">
        <v>56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>
        <f t="shared" si="6"/>
        <v>0</v>
      </c>
    </row>
    <row r="50" spans="1:15" x14ac:dyDescent="0.3">
      <c r="A50" s="1" t="s">
        <v>57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>
        <f t="shared" si="6"/>
        <v>0</v>
      </c>
    </row>
    <row r="51" spans="1:15" x14ac:dyDescent="0.3">
      <c r="A51" s="1" t="s">
        <v>58</v>
      </c>
      <c r="B51" s="3">
        <f>1978.92</f>
        <v>1978.92</v>
      </c>
      <c r="C51" s="2"/>
      <c r="D51" s="3">
        <f>1185</f>
        <v>1185</v>
      </c>
      <c r="E51" s="3">
        <f>5154.97</f>
        <v>5154.97</v>
      </c>
      <c r="F51" s="2"/>
      <c r="G51" s="3">
        <f>1125</f>
        <v>1125</v>
      </c>
      <c r="H51" s="2">
        <f>SUM('Example 1 _ Cash Flows'!AU17)</f>
        <v>1967.22</v>
      </c>
      <c r="I51" s="2">
        <f>'Example 1 _ Cash Flows'!AU51</f>
        <v>3439.25</v>
      </c>
      <c r="J51" s="2">
        <f>'Example 1 _ Cash Flows'!AU83</f>
        <v>2707.6</v>
      </c>
      <c r="K51" s="2">
        <f>'Example 1 _ Cash Flows'!AU112</f>
        <v>0</v>
      </c>
      <c r="L51" s="2">
        <f>'Example 1 _ Cash Flows'!AU138</f>
        <v>0</v>
      </c>
      <c r="M51" s="2">
        <f>'Example 1 _ Cash Flows'!AU166</f>
        <v>0</v>
      </c>
      <c r="N51" s="3">
        <f t="shared" si="6"/>
        <v>17557.96</v>
      </c>
    </row>
    <row r="52" spans="1:15" x14ac:dyDescent="0.3">
      <c r="A52" s="1" t="s">
        <v>59</v>
      </c>
      <c r="B52" s="3">
        <f>644.77</f>
        <v>644.77</v>
      </c>
      <c r="C52" s="3">
        <f>340.63</f>
        <v>340.63</v>
      </c>
      <c r="D52" s="3">
        <f>540.08</f>
        <v>540.08000000000004</v>
      </c>
      <c r="E52" s="3">
        <f>791.34</f>
        <v>791.34</v>
      </c>
      <c r="F52" s="3">
        <f>280</f>
        <v>280</v>
      </c>
      <c r="G52" s="3">
        <f>719.64</f>
        <v>719.64</v>
      </c>
      <c r="H52" s="126"/>
      <c r="I52" s="126"/>
      <c r="J52" s="126"/>
      <c r="K52" s="126"/>
      <c r="L52" s="126"/>
      <c r="M52" s="126"/>
      <c r="N52" s="3">
        <f t="shared" si="6"/>
        <v>3316.46</v>
      </c>
    </row>
    <row r="53" spans="1:15" x14ac:dyDescent="0.3">
      <c r="A53" s="1" t="s">
        <v>60</v>
      </c>
      <c r="B53" s="3">
        <f>2640</f>
        <v>2640</v>
      </c>
      <c r="C53" s="2"/>
      <c r="D53" s="2"/>
      <c r="E53" s="3">
        <f>150</f>
        <v>150</v>
      </c>
      <c r="F53" s="2"/>
      <c r="G53" s="3">
        <f>600</f>
        <v>600</v>
      </c>
      <c r="H53" s="2">
        <f>SUM('Example 1 _ Cash Flows'!AO17)</f>
        <v>330.78</v>
      </c>
      <c r="I53" s="2">
        <f>SUM('Example 1 _ Cash Flows'!AO51)</f>
        <v>0</v>
      </c>
      <c r="J53" s="2">
        <f>'Example 1 _ Cash Flows'!AO83</f>
        <v>0</v>
      </c>
      <c r="K53" s="2">
        <f>'Example 1 _ Cash Flows'!AO112</f>
        <v>0</v>
      </c>
      <c r="L53" s="2">
        <f>'Example 1 _ Cash Flows'!AO138</f>
        <v>0</v>
      </c>
      <c r="M53" s="2">
        <f>'Example 1 _ Cash Flows'!AO166</f>
        <v>0</v>
      </c>
      <c r="N53" s="3">
        <f t="shared" si="6"/>
        <v>3720.7799999999997</v>
      </c>
    </row>
    <row r="54" spans="1:15" x14ac:dyDescent="0.3">
      <c r="A54" s="1" t="s">
        <v>61</v>
      </c>
      <c r="B54" s="2"/>
      <c r="C54" s="2"/>
      <c r="D54" s="2"/>
      <c r="E54" s="2"/>
      <c r="F54" s="2"/>
      <c r="G54" s="3">
        <f>90.67</f>
        <v>90.67</v>
      </c>
      <c r="H54" s="3">
        <f>1833.35</f>
        <v>1833.35</v>
      </c>
      <c r="I54" s="3">
        <f>1833.35</f>
        <v>1833.35</v>
      </c>
      <c r="J54" s="3">
        <f>1833.35</f>
        <v>1833.35</v>
      </c>
      <c r="K54" s="3">
        <f>1833.35</f>
        <v>1833.35</v>
      </c>
      <c r="L54" s="3">
        <f>1833.35</f>
        <v>1833.35</v>
      </c>
      <c r="M54" s="3">
        <f>1833.25</f>
        <v>1833.25</v>
      </c>
      <c r="N54" s="3">
        <f t="shared" si="6"/>
        <v>11090.67</v>
      </c>
    </row>
    <row r="55" spans="1:15" x14ac:dyDescent="0.3">
      <c r="A55" s="1" t="s">
        <v>62</v>
      </c>
      <c r="B55" s="4">
        <f t="shared" ref="B55:M55" si="13">((((B50)+(B51))+(B52))+(B53))+(B54)</f>
        <v>5263.6900000000005</v>
      </c>
      <c r="C55" s="4">
        <f t="shared" si="13"/>
        <v>340.63</v>
      </c>
      <c r="D55" s="4">
        <f t="shared" si="13"/>
        <v>1725.08</v>
      </c>
      <c r="E55" s="4">
        <f t="shared" si="13"/>
        <v>6096.31</v>
      </c>
      <c r="F55" s="4">
        <f t="shared" si="13"/>
        <v>280</v>
      </c>
      <c r="G55" s="4">
        <f t="shared" si="13"/>
        <v>2535.31</v>
      </c>
      <c r="H55" s="4">
        <f t="shared" si="13"/>
        <v>4131.3500000000004</v>
      </c>
      <c r="I55" s="4">
        <f t="shared" si="13"/>
        <v>5272.6</v>
      </c>
      <c r="J55" s="4">
        <f t="shared" si="13"/>
        <v>4540.95</v>
      </c>
      <c r="K55" s="4">
        <f t="shared" si="13"/>
        <v>1833.35</v>
      </c>
      <c r="L55" s="4">
        <f t="shared" si="13"/>
        <v>1833.35</v>
      </c>
      <c r="M55" s="4">
        <f t="shared" si="13"/>
        <v>1833.25</v>
      </c>
      <c r="N55" s="4">
        <f t="shared" si="6"/>
        <v>35685.870000000003</v>
      </c>
    </row>
    <row r="56" spans="1:15" x14ac:dyDescent="0.3">
      <c r="A56" s="1" t="s">
        <v>63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>
        <f t="shared" si="6"/>
        <v>0</v>
      </c>
    </row>
    <row r="57" spans="1:15" x14ac:dyDescent="0.3">
      <c r="A57" s="1" t="s">
        <v>64</v>
      </c>
      <c r="B57" s="2"/>
      <c r="C57" s="3">
        <f>4227.52</f>
        <v>4227.5200000000004</v>
      </c>
      <c r="D57" s="3">
        <f>10350.25</f>
        <v>10350.25</v>
      </c>
      <c r="E57" s="3">
        <f>1753.2</f>
        <v>1753.2</v>
      </c>
      <c r="F57" s="3">
        <f>705.41</f>
        <v>705.41</v>
      </c>
      <c r="G57" s="3">
        <f>6814.65</f>
        <v>6814.65</v>
      </c>
      <c r="H57" s="127">
        <f>2900</f>
        <v>2900</v>
      </c>
      <c r="I57" s="126"/>
      <c r="J57" s="126"/>
      <c r="K57" s="126"/>
      <c r="L57" s="126"/>
      <c r="M57" s="126"/>
      <c r="N57" s="3">
        <f t="shared" si="6"/>
        <v>26751.03</v>
      </c>
    </row>
    <row r="58" spans="1:15" x14ac:dyDescent="0.3">
      <c r="A58" s="1" t="s">
        <v>65</v>
      </c>
      <c r="B58" s="3">
        <f>2080</f>
        <v>2080</v>
      </c>
      <c r="C58" s="3">
        <f>2080</f>
        <v>2080</v>
      </c>
      <c r="D58" s="3">
        <f>1580</f>
        <v>1580</v>
      </c>
      <c r="E58" s="3">
        <f>1080</f>
        <v>1080</v>
      </c>
      <c r="F58" s="3">
        <f>4660</f>
        <v>4660</v>
      </c>
      <c r="G58" s="3">
        <f>1080</f>
        <v>1080</v>
      </c>
      <c r="H58" s="127">
        <f>1080+'Example 1 _ Cash Flows'!X17</f>
        <v>1080</v>
      </c>
      <c r="I58" s="126">
        <f>SUM('Example 1 _ Cash Flows'!X51)</f>
        <v>1080</v>
      </c>
      <c r="J58" s="127">
        <f>'BB Example 4 _ Cash Flows'!X84</f>
        <v>72480</v>
      </c>
      <c r="K58" s="126">
        <f>'Example 1 _ Cash Flows'!X112</f>
        <v>1080</v>
      </c>
      <c r="L58" s="126">
        <f>'Example 1 _ Cash Flows'!X138</f>
        <v>1080</v>
      </c>
      <c r="M58" s="126">
        <f>'Example 1 _ Cash Flows'!X166</f>
        <v>1080</v>
      </c>
      <c r="N58" s="127">
        <f t="shared" si="6"/>
        <v>90440</v>
      </c>
    </row>
    <row r="59" spans="1:15" x14ac:dyDescent="0.3">
      <c r="A59" s="1" t="s">
        <v>66</v>
      </c>
      <c r="B59" s="3">
        <f>2700</f>
        <v>2700</v>
      </c>
      <c r="C59" s="3">
        <f>3402.7</f>
        <v>3402.7</v>
      </c>
      <c r="D59" s="3">
        <f>288.35</f>
        <v>288.35000000000002</v>
      </c>
      <c r="E59" s="3">
        <f>200</f>
        <v>200</v>
      </c>
      <c r="F59" s="3">
        <f>200</f>
        <v>200</v>
      </c>
      <c r="G59" s="3">
        <f>200</f>
        <v>200</v>
      </c>
      <c r="H59" s="3">
        <f>200</f>
        <v>200</v>
      </c>
      <c r="I59" s="2">
        <f>SUM('Example 1 _ Cash Flows'!AM51)</f>
        <v>200</v>
      </c>
      <c r="J59" s="2">
        <f>SUM('Example 1 _ Cash Flows'!AM83)</f>
        <v>200</v>
      </c>
      <c r="K59" s="2">
        <f>SUM('Example 1 _ Cash Flows'!AM112)</f>
        <v>200</v>
      </c>
      <c r="L59" s="2">
        <f>SUM('Example 1 _ Cash Flows'!AM138)</f>
        <v>200</v>
      </c>
      <c r="M59" s="2">
        <f>SUM('Example 1 _ Cash Flows'!AM166)</f>
        <v>200</v>
      </c>
      <c r="N59" s="3">
        <f t="shared" si="6"/>
        <v>8191.05</v>
      </c>
    </row>
    <row r="60" spans="1:15" x14ac:dyDescent="0.3">
      <c r="A60" s="1" t="s">
        <v>67</v>
      </c>
      <c r="B60" s="4">
        <f t="shared" ref="B60:M60" si="14">(((B56)+(B57))+(B58))+(B59)</f>
        <v>4780</v>
      </c>
      <c r="C60" s="4">
        <f t="shared" si="14"/>
        <v>9710.2200000000012</v>
      </c>
      <c r="D60" s="4">
        <f t="shared" si="14"/>
        <v>12218.6</v>
      </c>
      <c r="E60" s="4">
        <f t="shared" si="14"/>
        <v>3033.2</v>
      </c>
      <c r="F60" s="4">
        <f t="shared" si="14"/>
        <v>5565.41</v>
      </c>
      <c r="G60" s="4">
        <f t="shared" si="14"/>
        <v>8094.65</v>
      </c>
      <c r="H60" s="4">
        <f t="shared" si="14"/>
        <v>4180</v>
      </c>
      <c r="I60" s="4">
        <f t="shared" si="14"/>
        <v>1280</v>
      </c>
      <c r="J60" s="4">
        <f t="shared" si="14"/>
        <v>72680</v>
      </c>
      <c r="K60" s="4">
        <f t="shared" si="14"/>
        <v>1280</v>
      </c>
      <c r="L60" s="4">
        <f t="shared" si="14"/>
        <v>1280</v>
      </c>
      <c r="M60" s="4">
        <f t="shared" si="14"/>
        <v>1280</v>
      </c>
      <c r="N60" s="4">
        <f t="shared" si="6"/>
        <v>125382.08</v>
      </c>
    </row>
    <row r="61" spans="1:15" x14ac:dyDescent="0.3">
      <c r="A61" s="1" t="s">
        <v>68</v>
      </c>
      <c r="B61" s="4">
        <f t="shared" ref="B61:M61" si="15">((B49)+(B55))+(B60)</f>
        <v>10043.69</v>
      </c>
      <c r="C61" s="4">
        <f t="shared" si="15"/>
        <v>10050.85</v>
      </c>
      <c r="D61" s="4">
        <f t="shared" si="15"/>
        <v>13943.68</v>
      </c>
      <c r="E61" s="4">
        <f t="shared" si="15"/>
        <v>9129.51</v>
      </c>
      <c r="F61" s="4">
        <f t="shared" si="15"/>
        <v>5845.41</v>
      </c>
      <c r="G61" s="4">
        <f t="shared" si="15"/>
        <v>10629.96</v>
      </c>
      <c r="H61" s="4">
        <f t="shared" si="15"/>
        <v>8311.35</v>
      </c>
      <c r="I61" s="4">
        <f t="shared" si="15"/>
        <v>6552.6</v>
      </c>
      <c r="J61" s="4">
        <f t="shared" si="15"/>
        <v>77220.95</v>
      </c>
      <c r="K61" s="4">
        <f t="shared" si="15"/>
        <v>3113.35</v>
      </c>
      <c r="L61" s="4">
        <f t="shared" si="15"/>
        <v>3113.35</v>
      </c>
      <c r="M61" s="4">
        <f t="shared" si="15"/>
        <v>3113.25</v>
      </c>
      <c r="N61" s="4">
        <f t="shared" si="6"/>
        <v>161067.95000000001</v>
      </c>
    </row>
    <row r="62" spans="1:15" x14ac:dyDescent="0.3">
      <c r="A62" s="1" t="s">
        <v>69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>
        <f t="shared" si="6"/>
        <v>0</v>
      </c>
    </row>
    <row r="63" spans="1:15" x14ac:dyDescent="0.3">
      <c r="A63" s="20" t="s">
        <v>389</v>
      </c>
      <c r="B63" s="2"/>
      <c r="C63" s="2"/>
      <c r="D63" s="2"/>
      <c r="E63" s="2"/>
      <c r="F63" s="2"/>
      <c r="G63" s="2"/>
      <c r="H63" s="2"/>
      <c r="I63" s="226">
        <f>'BB Example 4 _ Cash Flows'!AX51</f>
        <v>5000</v>
      </c>
      <c r="J63" s="226">
        <f>'BB Example 4 _ Cash Flows'!AX84</f>
        <v>5000</v>
      </c>
      <c r="K63" s="226">
        <f>'BB Example 4 _ Cash Flows'!AX113</f>
        <v>5000</v>
      </c>
      <c r="L63" s="226">
        <f>'BB Example 4 _ Cash Flows'!AX140</f>
        <v>5000</v>
      </c>
      <c r="M63" s="226">
        <f>'BB Example 4 _ Cash Flows'!AX169</f>
        <v>5000</v>
      </c>
      <c r="N63" s="227">
        <f t="shared" si="6"/>
        <v>25000</v>
      </c>
      <c r="O63" s="228" t="s">
        <v>391</v>
      </c>
    </row>
    <row r="64" spans="1:15" x14ac:dyDescent="0.3">
      <c r="A64" s="1" t="s">
        <v>71</v>
      </c>
      <c r="B64" s="3">
        <f>280</f>
        <v>280</v>
      </c>
      <c r="C64" s="3">
        <f>458.5</f>
        <v>458.5</v>
      </c>
      <c r="D64" s="3">
        <f>385</f>
        <v>385</v>
      </c>
      <c r="E64" s="3">
        <f>673.75</f>
        <v>673.75</v>
      </c>
      <c r="F64" s="3">
        <f>367.5</f>
        <v>367.5</v>
      </c>
      <c r="G64" s="2"/>
      <c r="H64" s="226">
        <f>SUM('Example 1 _ Cash Flows'!AW17)</f>
        <v>750</v>
      </c>
      <c r="I64" s="226">
        <f>SUM('Example 1 _ Cash Flows'!AW51)</f>
        <v>750</v>
      </c>
      <c r="J64" s="226">
        <f>SUM('Example 1 _ Cash Flows'!AW83)</f>
        <v>750</v>
      </c>
      <c r="K64" s="226">
        <f>SUM('Example 1 _ Cash Flows'!AW112)</f>
        <v>750</v>
      </c>
      <c r="L64" s="226">
        <f>SUM('Example 1 _ Cash Flows'!AW138)</f>
        <v>750</v>
      </c>
      <c r="M64" s="226">
        <f>SUM('Example 1 _ Cash Flows'!AW166)</f>
        <v>750</v>
      </c>
      <c r="N64" s="227">
        <f t="shared" si="6"/>
        <v>6664.75</v>
      </c>
      <c r="O64" s="228" t="s">
        <v>357</v>
      </c>
    </row>
    <row r="65" spans="1:14" x14ac:dyDescent="0.3">
      <c r="A65" s="1" t="s">
        <v>72</v>
      </c>
      <c r="B65" s="2"/>
      <c r="C65" s="2"/>
      <c r="D65" s="2"/>
      <c r="E65" s="2"/>
      <c r="F65" s="3">
        <f>263.97</f>
        <v>263.97000000000003</v>
      </c>
      <c r="G65" s="3">
        <f>124.02</f>
        <v>124.02</v>
      </c>
      <c r="H65" s="127">
        <f>2</f>
        <v>2</v>
      </c>
      <c r="I65" s="126"/>
      <c r="J65" s="126"/>
      <c r="K65" s="126"/>
      <c r="L65" s="126"/>
      <c r="M65" s="126"/>
      <c r="N65" s="3">
        <f>(((((((((((B65)+(C65))+(D65))+(E65))+(F65))+(G65))+(H65))+(I65))+(J65))+(K65))+(L65))+(M65)</f>
        <v>389.99</v>
      </c>
    </row>
    <row r="66" spans="1:14" x14ac:dyDescent="0.3">
      <c r="A66" s="1" t="s">
        <v>73</v>
      </c>
      <c r="B66" s="2"/>
      <c r="C66" s="2"/>
      <c r="D66" s="2"/>
      <c r="E66" s="3">
        <f>35.25</f>
        <v>35.25</v>
      </c>
      <c r="F66" s="2"/>
      <c r="G66" s="3">
        <f>122.74</f>
        <v>122.74</v>
      </c>
      <c r="H66" s="127">
        <f>4350.62</f>
        <v>4350.62</v>
      </c>
      <c r="I66" s="126"/>
      <c r="J66" s="126"/>
      <c r="K66" s="126"/>
      <c r="L66" s="126"/>
      <c r="M66" s="126"/>
      <c r="N66" s="3">
        <f>(((((((((((B66)+(C66))+(D66))+(E66))+(F66))+(G66))+(H66))+(I66))+(J66))+(K66))+(L66))+(M66)</f>
        <v>4508.6099999999997</v>
      </c>
    </row>
    <row r="67" spans="1:14" x14ac:dyDescent="0.3">
      <c r="A67" s="1" t="s">
        <v>74</v>
      </c>
      <c r="B67" s="3">
        <f>259.83</f>
        <v>259.83</v>
      </c>
      <c r="C67" s="3">
        <f>115.34</f>
        <v>115.34</v>
      </c>
      <c r="D67" s="3">
        <f>146.04</f>
        <v>146.04</v>
      </c>
      <c r="E67" s="3">
        <f>132.68</f>
        <v>132.68</v>
      </c>
      <c r="F67" s="3">
        <f>243.28</f>
        <v>243.28</v>
      </c>
      <c r="G67" s="3">
        <f>131.71</f>
        <v>131.71</v>
      </c>
      <c r="H67" s="3">
        <f>122.82</f>
        <v>122.82</v>
      </c>
      <c r="I67" s="2">
        <f>SUM('Example 1 _ Cash Flows'!AF51)</f>
        <v>150</v>
      </c>
      <c r="J67" s="2">
        <f>SUM('Example 1 _ Cash Flows'!AF83)</f>
        <v>150</v>
      </c>
      <c r="K67" s="2">
        <f>SUM('Example 1 _ Cash Flows'!AF112)</f>
        <v>150</v>
      </c>
      <c r="L67" s="2">
        <f>SUM('Example 1 _ Cash Flows'!AF138)</f>
        <v>150</v>
      </c>
      <c r="M67" s="2">
        <f>SUM('Example 1 _ Cash Flows'!AF166)</f>
        <v>150</v>
      </c>
      <c r="N67" s="3">
        <f t="shared" si="6"/>
        <v>1901.6999999999998</v>
      </c>
    </row>
    <row r="68" spans="1:14" x14ac:dyDescent="0.3">
      <c r="A68" s="1" t="s">
        <v>75</v>
      </c>
      <c r="B68" s="3">
        <f>912.46</f>
        <v>912.46</v>
      </c>
      <c r="C68" s="3">
        <f>979.84</f>
        <v>979.84</v>
      </c>
      <c r="D68" s="3">
        <f>658.85</f>
        <v>658.85</v>
      </c>
      <c r="E68" s="3">
        <f>982.95</f>
        <v>982.95</v>
      </c>
      <c r="F68" s="3">
        <f>814.83</f>
        <v>814.83</v>
      </c>
      <c r="G68" s="3">
        <f>1166.7</f>
        <v>1166.7</v>
      </c>
      <c r="H68" s="3">
        <f>SUM(I68)</f>
        <v>778.6875</v>
      </c>
      <c r="I68" s="2">
        <f>'Example 1 _ Cash Flows'!Y51</f>
        <v>778.6875</v>
      </c>
      <c r="J68" s="2">
        <f>'Example 1 _ Cash Flows'!Y83</f>
        <v>778.6875</v>
      </c>
      <c r="K68" s="2">
        <f>'Example 1 _ Cash Flows'!Y112</f>
        <v>778.6875</v>
      </c>
      <c r="L68" s="2">
        <f>'Example 1 _ Cash Flows'!Y138</f>
        <v>778.6875</v>
      </c>
      <c r="M68" s="2">
        <f>'Example 1 _ Cash Flows'!Y166</f>
        <v>778.6875</v>
      </c>
      <c r="N68" s="3">
        <f t="shared" si="6"/>
        <v>10187.755000000001</v>
      </c>
    </row>
    <row r="69" spans="1:14" x14ac:dyDescent="0.3">
      <c r="A69" s="1" t="s">
        <v>76</v>
      </c>
      <c r="B69" s="3">
        <f>279.99</f>
        <v>279.99</v>
      </c>
      <c r="C69" s="3">
        <f>4359.99</f>
        <v>4359.99</v>
      </c>
      <c r="D69" s="2"/>
      <c r="E69" s="3">
        <f>1290</f>
        <v>1290</v>
      </c>
      <c r="F69" s="2"/>
      <c r="G69" s="2"/>
      <c r="H69" s="126"/>
      <c r="I69" s="126"/>
      <c r="J69" s="126"/>
      <c r="K69" s="126"/>
      <c r="L69" s="126"/>
      <c r="M69" s="126"/>
      <c r="N69" s="3">
        <f t="shared" si="6"/>
        <v>5929.98</v>
      </c>
    </row>
    <row r="70" spans="1:14" x14ac:dyDescent="0.3">
      <c r="A70" s="1" t="s">
        <v>77</v>
      </c>
      <c r="B70" s="3">
        <f>66</f>
        <v>66</v>
      </c>
      <c r="C70" s="2"/>
      <c r="D70" s="2"/>
      <c r="E70" s="2"/>
      <c r="F70" s="2"/>
      <c r="G70" s="2"/>
      <c r="H70" s="127">
        <f>49</f>
        <v>49</v>
      </c>
      <c r="I70" s="126"/>
      <c r="J70" s="126"/>
      <c r="K70" s="126"/>
      <c r="L70" s="126"/>
      <c r="M70" s="126"/>
      <c r="N70" s="3">
        <f t="shared" si="6"/>
        <v>115</v>
      </c>
    </row>
    <row r="71" spans="1:14" x14ac:dyDescent="0.3">
      <c r="A71" s="1" t="s">
        <v>78</v>
      </c>
      <c r="B71" s="2"/>
      <c r="C71" s="3">
        <f>165.98</f>
        <v>165.98</v>
      </c>
      <c r="D71" s="3">
        <f>381.04</f>
        <v>381.04</v>
      </c>
      <c r="E71" s="3">
        <f>347.66</f>
        <v>347.66</v>
      </c>
      <c r="F71" s="3">
        <f>752.46</f>
        <v>752.46</v>
      </c>
      <c r="G71" s="3">
        <f>297.77</f>
        <v>297.77</v>
      </c>
      <c r="H71" s="126"/>
      <c r="I71" s="126"/>
      <c r="J71" s="126"/>
      <c r="K71" s="126"/>
      <c r="L71" s="126"/>
      <c r="M71" s="126"/>
      <c r="N71" s="3">
        <f t="shared" si="6"/>
        <v>1944.91</v>
      </c>
    </row>
    <row r="72" spans="1:14" x14ac:dyDescent="0.3">
      <c r="A72" s="1" t="s">
        <v>79</v>
      </c>
      <c r="B72" s="3">
        <f>1317.74</f>
        <v>1317.74</v>
      </c>
      <c r="C72" s="3">
        <f>568.94</f>
        <v>568.94000000000005</v>
      </c>
      <c r="D72" s="3">
        <f>131.25</f>
        <v>131.25</v>
      </c>
      <c r="E72" s="3">
        <f>53.93</f>
        <v>53.93</v>
      </c>
      <c r="F72" s="3">
        <f>878</f>
        <v>878</v>
      </c>
      <c r="G72" s="3">
        <f>1472.34</f>
        <v>1472.34</v>
      </c>
      <c r="H72" s="127">
        <f>0</f>
        <v>0</v>
      </c>
      <c r="I72" s="126"/>
      <c r="J72" s="126"/>
      <c r="K72" s="126"/>
      <c r="L72" s="126"/>
      <c r="M72" s="126"/>
      <c r="N72" s="3">
        <f t="shared" si="6"/>
        <v>4422.2</v>
      </c>
    </row>
    <row r="73" spans="1:14" x14ac:dyDescent="0.3">
      <c r="A73" s="1" t="s">
        <v>80</v>
      </c>
      <c r="B73" s="3">
        <f>51.8</f>
        <v>51.8</v>
      </c>
      <c r="C73" s="3">
        <f>524.53</f>
        <v>524.53</v>
      </c>
      <c r="D73" s="3">
        <f>111.95</f>
        <v>111.95</v>
      </c>
      <c r="E73" s="3">
        <f>213.08</f>
        <v>213.08</v>
      </c>
      <c r="F73" s="3">
        <f>304.39</f>
        <v>304.39</v>
      </c>
      <c r="G73" s="3">
        <f>100.45</f>
        <v>100.45</v>
      </c>
      <c r="H73" s="127">
        <f>55</f>
        <v>55</v>
      </c>
      <c r="I73" s="126"/>
      <c r="J73" s="126"/>
      <c r="K73" s="126"/>
      <c r="L73" s="126"/>
      <c r="M73" s="126"/>
      <c r="N73" s="3">
        <f t="shared" si="6"/>
        <v>1361.2</v>
      </c>
    </row>
    <row r="74" spans="1:14" x14ac:dyDescent="0.3">
      <c r="A74" s="1" t="s">
        <v>81</v>
      </c>
      <c r="B74" s="3">
        <f>817.24</f>
        <v>817.24</v>
      </c>
      <c r="C74" s="3">
        <f>1413.11</f>
        <v>1413.11</v>
      </c>
      <c r="D74" s="3">
        <f>1005.44</f>
        <v>1005.44</v>
      </c>
      <c r="E74" s="3">
        <f>2662.69</f>
        <v>2662.69</v>
      </c>
      <c r="F74" s="3">
        <f>3020.58</f>
        <v>3020.58</v>
      </c>
      <c r="G74" s="3">
        <f>395.97</f>
        <v>395.97</v>
      </c>
      <c r="H74" s="2"/>
      <c r="I74" s="2">
        <f>'Example 1 _ Cash Flows'!AX51</f>
        <v>1750</v>
      </c>
      <c r="J74" s="2">
        <f>'Example 1 _ Cash Flows'!AX83</f>
        <v>1750</v>
      </c>
      <c r="K74" s="2">
        <f>'Example 1 _ Cash Flows'!AX112</f>
        <v>3250</v>
      </c>
      <c r="L74" s="2">
        <f>'Example 1 _ Cash Flows'!AX138</f>
        <v>1750</v>
      </c>
      <c r="M74" s="2">
        <f>'Example 1 _ Cash Flows'!AX166</f>
        <v>1750</v>
      </c>
      <c r="N74" s="3">
        <f t="shared" si="6"/>
        <v>19565.03</v>
      </c>
    </row>
    <row r="75" spans="1:14" x14ac:dyDescent="0.3">
      <c r="A75" s="1" t="s">
        <v>82</v>
      </c>
      <c r="B75" s="4">
        <f t="shared" ref="B75:M75" si="16">(((((((((((B63)+(B64))+(B65))+(B66))+(B67))+(B68))+(B69))+(B70))+(B71))+(B72))+(B73))+(B74)</f>
        <v>3985.0600000000004</v>
      </c>
      <c r="C75" s="4">
        <f t="shared" si="16"/>
        <v>8586.23</v>
      </c>
      <c r="D75" s="4">
        <f t="shared" si="16"/>
        <v>2819.5699999999997</v>
      </c>
      <c r="E75" s="4">
        <f t="shared" si="16"/>
        <v>6391.99</v>
      </c>
      <c r="F75" s="4">
        <f t="shared" si="16"/>
        <v>6645.01</v>
      </c>
      <c r="G75" s="4">
        <f t="shared" si="16"/>
        <v>3811.7</v>
      </c>
      <c r="H75" s="4">
        <f t="shared" si="16"/>
        <v>6108.1274999999996</v>
      </c>
      <c r="I75" s="4">
        <f>(((((((((((I63)+(I64))+(I65))+(I66))+(I67))+(I68))+(I69))+(I70))+(I71))+(I72))+(I73))+(I74)</f>
        <v>8428.6875</v>
      </c>
      <c r="J75" s="4">
        <f t="shared" si="16"/>
        <v>8428.6875</v>
      </c>
      <c r="K75" s="4">
        <f t="shared" si="16"/>
        <v>9928.6875</v>
      </c>
      <c r="L75" s="4">
        <f t="shared" si="16"/>
        <v>8428.6875</v>
      </c>
      <c r="M75" s="4">
        <f t="shared" si="16"/>
        <v>8428.6875</v>
      </c>
      <c r="N75" s="4">
        <f t="shared" si="6"/>
        <v>81991.125</v>
      </c>
    </row>
    <row r="76" spans="1:14" x14ac:dyDescent="0.3">
      <c r="A76" s="1" t="s">
        <v>83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>
        <f t="shared" si="6"/>
        <v>0</v>
      </c>
    </row>
    <row r="77" spans="1:14" x14ac:dyDescent="0.3">
      <c r="A77" s="1" t="s">
        <v>84</v>
      </c>
      <c r="B77" s="3">
        <f>2530</f>
        <v>2530</v>
      </c>
      <c r="C77" s="3">
        <f>2350</f>
        <v>2350</v>
      </c>
      <c r="D77" s="3">
        <f>2350</f>
        <v>2350</v>
      </c>
      <c r="E77" s="3">
        <f>2350</f>
        <v>2350</v>
      </c>
      <c r="F77" s="3">
        <f>2350</f>
        <v>2350</v>
      </c>
      <c r="G77" s="3">
        <f>2350</f>
        <v>2350</v>
      </c>
      <c r="H77" s="3">
        <f>2350</f>
        <v>2350</v>
      </c>
      <c r="I77" s="124">
        <f>'Example 1 _ Cash Flows'!AC51</f>
        <v>2350</v>
      </c>
      <c r="J77" s="2">
        <f>'Example 1 _ Cash Flows'!AC83</f>
        <v>2350</v>
      </c>
      <c r="K77" s="2">
        <f>'Example 1 _ Cash Flows'!AC112</f>
        <v>2350</v>
      </c>
      <c r="L77" s="2">
        <f>'Example 1 _ Cash Flows'!AC138</f>
        <v>2350</v>
      </c>
      <c r="M77" s="2">
        <f>'Example 1 _ Cash Flows'!AC166</f>
        <v>2350</v>
      </c>
      <c r="N77" s="3">
        <f t="shared" si="6"/>
        <v>28380</v>
      </c>
    </row>
    <row r="78" spans="1:14" x14ac:dyDescent="0.3">
      <c r="A78" s="1" t="s">
        <v>85</v>
      </c>
      <c r="B78" s="3">
        <f>2126.31</f>
        <v>2126.31</v>
      </c>
      <c r="C78" s="2"/>
      <c r="D78" s="2"/>
      <c r="E78" s="2"/>
      <c r="F78" s="2"/>
      <c r="G78" s="2"/>
      <c r="H78" s="126"/>
      <c r="I78" s="126"/>
      <c r="J78" s="126"/>
      <c r="K78" s="126"/>
      <c r="L78" s="126"/>
      <c r="M78" s="126"/>
      <c r="N78" s="3">
        <f t="shared" si="6"/>
        <v>2126.31</v>
      </c>
    </row>
    <row r="79" spans="1:14" x14ac:dyDescent="0.3">
      <c r="A79" s="1" t="s">
        <v>86</v>
      </c>
      <c r="B79" s="3">
        <f>687.41</f>
        <v>687.41</v>
      </c>
      <c r="C79" s="3">
        <f>483.45</f>
        <v>483.45</v>
      </c>
      <c r="D79" s="3">
        <f>318.7</f>
        <v>318.7</v>
      </c>
      <c r="E79" s="3">
        <f>819.87</f>
        <v>819.87</v>
      </c>
      <c r="F79" s="3">
        <f>339.41</f>
        <v>339.41</v>
      </c>
      <c r="G79" s="3">
        <f>218.49</f>
        <v>218.49</v>
      </c>
      <c r="H79" s="3">
        <f>94.95+'Example 1 _ Cash Flows'!U17</f>
        <v>194.95</v>
      </c>
      <c r="I79" s="2">
        <f>'Example 1 _ Cash Flows'!U51</f>
        <v>294.95</v>
      </c>
      <c r="J79" s="2">
        <f>'Example 1 _ Cash Flows'!U83</f>
        <v>294.95</v>
      </c>
      <c r="K79" s="2">
        <f>'Example 1 _ Cash Flows'!U112</f>
        <v>294.95</v>
      </c>
      <c r="L79" s="2">
        <f>'Example 1 _ Cash Flows'!U138</f>
        <v>294.95</v>
      </c>
      <c r="M79" s="2">
        <f>'Example 1 _ Cash Flows'!U166</f>
        <v>294.95</v>
      </c>
      <c r="N79" s="3">
        <f t="shared" si="6"/>
        <v>4537.0299999999988</v>
      </c>
    </row>
    <row r="80" spans="1:14" x14ac:dyDescent="0.3">
      <c r="A80" s="1" t="s">
        <v>87</v>
      </c>
      <c r="B80" s="2"/>
      <c r="C80" s="3">
        <f>62.58</f>
        <v>62.58</v>
      </c>
      <c r="D80" s="2"/>
      <c r="E80" s="2"/>
      <c r="F80" s="2"/>
      <c r="G80" s="2"/>
      <c r="H80" s="126"/>
      <c r="I80" s="126"/>
      <c r="J80" s="126"/>
      <c r="K80" s="126"/>
      <c r="L80" s="126"/>
      <c r="M80" s="126"/>
      <c r="N80" s="3">
        <f t="shared" si="6"/>
        <v>62.58</v>
      </c>
    </row>
    <row r="81" spans="1:15" x14ac:dyDescent="0.3">
      <c r="A81" s="1" t="s">
        <v>88</v>
      </c>
      <c r="B81" s="3">
        <f>970.79</f>
        <v>970.79</v>
      </c>
      <c r="C81" s="3">
        <f>912.44</f>
        <v>912.44</v>
      </c>
      <c r="D81" s="3">
        <f>1010.57</f>
        <v>1010.57</v>
      </c>
      <c r="E81" s="3">
        <f>870.18</f>
        <v>870.18</v>
      </c>
      <c r="F81" s="3">
        <f>813.03</f>
        <v>813.03</v>
      </c>
      <c r="G81" s="3">
        <f>812.9</f>
        <v>812.9</v>
      </c>
      <c r="H81" s="3">
        <f>200+'Example 1 _ Cash Flows'!V17+'Example 1 _ Cash Flows'!W17</f>
        <v>1651.8200000000002</v>
      </c>
      <c r="I81" s="3">
        <f>200+'Example 1 _ Cash Flows'!V51</f>
        <v>908.65</v>
      </c>
      <c r="J81" s="3">
        <f>200+'Example 1 _ Cash Flows'!V83</f>
        <v>908.65</v>
      </c>
      <c r="K81" s="3">
        <f>200+'Example 1 _ Cash Flows'!V112</f>
        <v>908.65</v>
      </c>
      <c r="L81" s="3">
        <f>200+'Example 1 _ Cash Flows'!V138</f>
        <v>908.65</v>
      </c>
      <c r="M81" s="3">
        <f>200+'Example 1 _ Cash Flows'!V166</f>
        <v>908.65</v>
      </c>
      <c r="N81" s="3">
        <f t="shared" si="6"/>
        <v>11584.979999999998</v>
      </c>
    </row>
    <row r="82" spans="1:15" x14ac:dyDescent="0.3">
      <c r="A82" s="1" t="s">
        <v>89</v>
      </c>
      <c r="B82" s="3">
        <f>719.91</f>
        <v>719.91</v>
      </c>
      <c r="C82" s="3">
        <f>813.28</f>
        <v>813.28</v>
      </c>
      <c r="D82" s="3">
        <f>831.52</f>
        <v>831.52</v>
      </c>
      <c r="E82" s="3">
        <f>735.63</f>
        <v>735.63</v>
      </c>
      <c r="F82" s="3">
        <f>532.08</f>
        <v>532.08000000000004</v>
      </c>
      <c r="G82" s="3">
        <f>835.76</f>
        <v>835.76</v>
      </c>
      <c r="H82" s="3">
        <f>362.8+'Example 1 _ Cash Flows'!W17</f>
        <v>1355.97</v>
      </c>
      <c r="I82" s="3">
        <f>44.94+'Example 1 _ Cash Flows'!W51</f>
        <v>1105.8375000000001</v>
      </c>
      <c r="J82" s="2">
        <f>SUM('Example 1 _ Cash Flows'!W83)</f>
        <v>779.72749999999996</v>
      </c>
      <c r="K82" s="2">
        <f>SUM('Example 1 _ Cash Flows'!W112)</f>
        <v>779.72749999999996</v>
      </c>
      <c r="L82" s="2">
        <f>SUM('Example 1 _ Cash Flows'!W138)</f>
        <v>779.72749999999996</v>
      </c>
      <c r="M82" s="2">
        <f>SUM('Example 1 _ Cash Flows'!W166)</f>
        <v>779.72749999999996</v>
      </c>
      <c r="N82" s="3">
        <f t="shared" ref="N82:N99" si="17">(((((((((((B82)+(C82))+(D82))+(E82))+(F82))+(G82))+(H82))+(I82))+(J82))+(K82))+(L82))+(M82)</f>
        <v>10048.897500000003</v>
      </c>
    </row>
    <row r="83" spans="1:15" x14ac:dyDescent="0.3">
      <c r="A83" s="1" t="s">
        <v>90</v>
      </c>
      <c r="B83" s="3">
        <f t="shared" ref="B83:G83" si="18">281.32</f>
        <v>281.32</v>
      </c>
      <c r="C83" s="3">
        <f t="shared" si="18"/>
        <v>281.32</v>
      </c>
      <c r="D83" s="3">
        <f t="shared" si="18"/>
        <v>281.32</v>
      </c>
      <c r="E83" s="3">
        <f t="shared" si="18"/>
        <v>281.32</v>
      </c>
      <c r="F83" s="3">
        <f t="shared" si="18"/>
        <v>281.32</v>
      </c>
      <c r="G83" s="3">
        <f t="shared" si="18"/>
        <v>281.32</v>
      </c>
      <c r="H83" s="126"/>
      <c r="I83" s="126"/>
      <c r="J83" s="126"/>
      <c r="K83" s="126"/>
      <c r="L83" s="126"/>
      <c r="M83" s="126"/>
      <c r="N83" s="3">
        <f t="shared" si="17"/>
        <v>1687.9199999999998</v>
      </c>
    </row>
    <row r="84" spans="1:15" x14ac:dyDescent="0.3">
      <c r="A84" s="1" t="s">
        <v>91</v>
      </c>
      <c r="B84" s="4">
        <f t="shared" ref="B84:M84" si="19">(((((((B76)+(B77))+(B78))+(B79))+(B80))+(B81))+(B82))+(B83)</f>
        <v>7315.7399999999989</v>
      </c>
      <c r="C84" s="4">
        <f t="shared" si="19"/>
        <v>4903.07</v>
      </c>
      <c r="D84" s="4">
        <f t="shared" si="19"/>
        <v>4792.1099999999997</v>
      </c>
      <c r="E84" s="4">
        <f t="shared" si="19"/>
        <v>5056.9999999999991</v>
      </c>
      <c r="F84" s="4">
        <f t="shared" si="19"/>
        <v>4315.8399999999992</v>
      </c>
      <c r="G84" s="4">
        <f t="shared" si="19"/>
        <v>4498.4699999999993</v>
      </c>
      <c r="H84" s="4">
        <f t="shared" si="19"/>
        <v>5552.7400000000007</v>
      </c>
      <c r="I84" s="4">
        <f>(((((((I76)+(M77))+(I78))+(I79))+(I80))+(I81))+(I82))+(I83)</f>
        <v>4659.4375</v>
      </c>
      <c r="J84" s="4">
        <f t="shared" si="19"/>
        <v>4333.3274999999994</v>
      </c>
      <c r="K84" s="4">
        <f t="shared" si="19"/>
        <v>4333.3274999999994</v>
      </c>
      <c r="L84" s="4">
        <f t="shared" si="19"/>
        <v>4333.3274999999994</v>
      </c>
      <c r="M84" s="4">
        <f t="shared" si="19"/>
        <v>4333.3274999999994</v>
      </c>
      <c r="N84" s="4">
        <f t="shared" si="17"/>
        <v>58427.717499999992</v>
      </c>
    </row>
    <row r="85" spans="1:15" x14ac:dyDescent="0.3">
      <c r="A85" s="1" t="s">
        <v>92</v>
      </c>
      <c r="B85" s="4">
        <f t="shared" ref="B85:M85" si="20">((B62)+(B75))+(B84)</f>
        <v>11300.8</v>
      </c>
      <c r="C85" s="4">
        <f t="shared" si="20"/>
        <v>13489.3</v>
      </c>
      <c r="D85" s="4">
        <f t="shared" si="20"/>
        <v>7611.6799999999994</v>
      </c>
      <c r="E85" s="4">
        <f t="shared" si="20"/>
        <v>11448.989999999998</v>
      </c>
      <c r="F85" s="4">
        <f t="shared" si="20"/>
        <v>10960.849999999999</v>
      </c>
      <c r="G85" s="4">
        <f t="shared" si="20"/>
        <v>8310.1699999999983</v>
      </c>
      <c r="H85" s="4">
        <f t="shared" si="20"/>
        <v>11660.8675</v>
      </c>
      <c r="I85" s="4">
        <f t="shared" si="20"/>
        <v>13088.125</v>
      </c>
      <c r="J85" s="4">
        <f t="shared" si="20"/>
        <v>12762.014999999999</v>
      </c>
      <c r="K85" s="4">
        <f t="shared" si="20"/>
        <v>14262.014999999999</v>
      </c>
      <c r="L85" s="4">
        <f t="shared" si="20"/>
        <v>12762.014999999999</v>
      </c>
      <c r="M85" s="4">
        <f t="shared" si="20"/>
        <v>12762.014999999999</v>
      </c>
      <c r="N85" s="4">
        <f t="shared" si="17"/>
        <v>140418.8425</v>
      </c>
    </row>
    <row r="86" spans="1:15" x14ac:dyDescent="0.3">
      <c r="A86" s="1" t="s">
        <v>93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>
        <f t="shared" si="17"/>
        <v>0</v>
      </c>
    </row>
    <row r="87" spans="1:15" x14ac:dyDescent="0.3">
      <c r="A87" s="1" t="s">
        <v>94</v>
      </c>
      <c r="B87" s="3">
        <f>35925.44</f>
        <v>35925.440000000002</v>
      </c>
      <c r="C87" s="3">
        <f>34250.9</f>
        <v>34250.9</v>
      </c>
      <c r="D87" s="3">
        <f>35708.8</f>
        <v>35708.800000000003</v>
      </c>
      <c r="E87" s="3">
        <f>25010.27</f>
        <v>25010.27</v>
      </c>
      <c r="F87" s="3">
        <f>28301.02</f>
        <v>28301.02</v>
      </c>
      <c r="G87" s="3">
        <f>26814.25</f>
        <v>26814.25</v>
      </c>
      <c r="H87" s="3">
        <f>26989.52</f>
        <v>26989.52</v>
      </c>
      <c r="I87" s="226">
        <f>SUM('Example 1 _ Cash Flows'!AH51)</f>
        <v>27200</v>
      </c>
      <c r="J87" s="226">
        <f>SUM('Example 1 _ Cash Flows'!AH83)</f>
        <v>27200</v>
      </c>
      <c r="K87" s="226">
        <f>SUM('Example 1 _ Cash Flows'!AH83)</f>
        <v>27200</v>
      </c>
      <c r="L87" s="226">
        <f>SUM('Example 1 _ Cash Flows'!AH112)</f>
        <v>27200</v>
      </c>
      <c r="M87" s="226">
        <f>SUM('Example 1 _ Cash Flows'!AH166)</f>
        <v>27200</v>
      </c>
      <c r="N87" s="227">
        <f t="shared" si="17"/>
        <v>349000.19999999995</v>
      </c>
      <c r="O87" s="228" t="s">
        <v>368</v>
      </c>
    </row>
    <row r="88" spans="1:15" x14ac:dyDescent="0.3">
      <c r="A88" s="1" t="s">
        <v>95</v>
      </c>
      <c r="B88" s="3">
        <f>138</f>
        <v>138</v>
      </c>
      <c r="C88" s="3">
        <f>538.46</f>
        <v>538.46</v>
      </c>
      <c r="D88" s="3">
        <f>4081.2</f>
        <v>4081.2</v>
      </c>
      <c r="E88" s="3">
        <f>3500</f>
        <v>3500</v>
      </c>
      <c r="F88" s="3">
        <f>0</f>
        <v>0</v>
      </c>
      <c r="G88" s="3">
        <f>830.77</f>
        <v>830.77</v>
      </c>
      <c r="H88" s="2">
        <f>SUM(I88)</f>
        <v>2000</v>
      </c>
      <c r="I88" s="226">
        <f>SUM('Example 1 _ Cash Flows'!AI51)</f>
        <v>2000</v>
      </c>
      <c r="J88" s="226">
        <f>SUM('Example 1 _ Cash Flows'!AI83)</f>
        <v>2000</v>
      </c>
      <c r="K88" s="226">
        <f>SUM('Example 1 _ Cash Flows'!AI83)</f>
        <v>2000</v>
      </c>
      <c r="L88" s="226">
        <f>SUM('Example 1 _ Cash Flows'!AI112)</f>
        <v>2000</v>
      </c>
      <c r="M88" s="226">
        <f>SUM('Example 1 _ Cash Flows'!AI166)</f>
        <v>2000</v>
      </c>
      <c r="N88" s="227">
        <f t="shared" si="17"/>
        <v>21088.43</v>
      </c>
      <c r="O88" s="228"/>
    </row>
    <row r="89" spans="1:15" x14ac:dyDescent="0.3">
      <c r="A89" s="1" t="s">
        <v>96</v>
      </c>
      <c r="B89" s="3">
        <f>2979.87</f>
        <v>2979.87</v>
      </c>
      <c r="C89" s="3">
        <f>3003.23</f>
        <v>3003.23</v>
      </c>
      <c r="D89" s="3">
        <f>3102.92</f>
        <v>3102.92</v>
      </c>
      <c r="E89" s="3">
        <f>2247.14</f>
        <v>2247.14</v>
      </c>
      <c r="F89" s="3">
        <f>2295.92</f>
        <v>2295.92</v>
      </c>
      <c r="G89" s="3">
        <f>2114.85</f>
        <v>2114.85</v>
      </c>
      <c r="H89" s="3">
        <f>3578.4</f>
        <v>3578.4</v>
      </c>
      <c r="I89" s="226">
        <f>SUM('Example 1 _ Cash Flows'!AJ51)</f>
        <v>4000</v>
      </c>
      <c r="J89" s="226">
        <f>SUM('Example 1 _ Cash Flows'!AJ83)</f>
        <v>4000</v>
      </c>
      <c r="K89" s="226">
        <f>SUM('Example 1 _ Cash Flows'!AJ83)</f>
        <v>4000</v>
      </c>
      <c r="L89" s="226">
        <f>SUM('Example 1 _ Cash Flows'!AJ112)</f>
        <v>4000</v>
      </c>
      <c r="M89" s="226">
        <f>SUM('Example 1 _ Cash Flows'!AJ166)</f>
        <v>4000</v>
      </c>
      <c r="N89" s="227">
        <f t="shared" si="17"/>
        <v>39322.33</v>
      </c>
      <c r="O89" s="228"/>
    </row>
    <row r="90" spans="1:15" x14ac:dyDescent="0.3">
      <c r="A90" s="1" t="s">
        <v>97</v>
      </c>
      <c r="B90" s="3">
        <f>53</f>
        <v>53</v>
      </c>
      <c r="C90" s="3">
        <f>53</f>
        <v>53</v>
      </c>
      <c r="D90" s="3">
        <f>53</f>
        <v>53</v>
      </c>
      <c r="E90" s="3">
        <f>51</f>
        <v>51</v>
      </c>
      <c r="F90" s="3">
        <f>51</f>
        <v>51</v>
      </c>
      <c r="G90" s="3">
        <f>51</f>
        <v>51</v>
      </c>
      <c r="H90" s="2">
        <v>51</v>
      </c>
      <c r="I90" s="2">
        <f>'Example 1 _ Cash Flows'!AR51</f>
        <v>63.75</v>
      </c>
      <c r="J90" s="2">
        <f>'Example 1 _ Cash Flows'!AR83</f>
        <v>63.75</v>
      </c>
      <c r="K90" s="2">
        <f>'Example 1 _ Cash Flows'!AR112</f>
        <v>63.75</v>
      </c>
      <c r="L90" s="2">
        <f>'Example 1 _ Cash Flows'!AR138</f>
        <v>63.75</v>
      </c>
      <c r="M90" s="2">
        <f>'Example 1 _ Cash Flows'!AR166</f>
        <v>63.75</v>
      </c>
      <c r="N90" s="3">
        <f t="shared" si="17"/>
        <v>681.75</v>
      </c>
    </row>
    <row r="91" spans="1:15" x14ac:dyDescent="0.3">
      <c r="A91" s="1" t="s">
        <v>98</v>
      </c>
      <c r="B91" s="3">
        <f>2704</f>
        <v>2704</v>
      </c>
      <c r="C91" s="2"/>
      <c r="D91" s="2"/>
      <c r="E91" s="3">
        <f>-532</f>
        <v>-532</v>
      </c>
      <c r="F91" s="2"/>
      <c r="G91" s="2"/>
      <c r="H91" s="126"/>
      <c r="I91" s="126"/>
      <c r="J91" s="126"/>
      <c r="K91" s="126"/>
      <c r="L91" s="126"/>
      <c r="M91" s="126"/>
      <c r="N91" s="3">
        <f t="shared" si="17"/>
        <v>2172</v>
      </c>
    </row>
    <row r="92" spans="1:15" x14ac:dyDescent="0.3">
      <c r="A92" s="1" t="s">
        <v>99</v>
      </c>
      <c r="B92" s="3">
        <f>2700</f>
        <v>2700</v>
      </c>
      <c r="C92" s="3">
        <f>2700</f>
        <v>2700</v>
      </c>
      <c r="D92" s="3">
        <f>2950</f>
        <v>2950</v>
      </c>
      <c r="E92" s="3">
        <f>2450</f>
        <v>2450</v>
      </c>
      <c r="F92" s="3">
        <f>2700</f>
        <v>2700</v>
      </c>
      <c r="G92" s="3">
        <f>2700</f>
        <v>2700</v>
      </c>
      <c r="H92" s="3">
        <f>2700</f>
        <v>2700</v>
      </c>
      <c r="I92" s="226">
        <f>SUM('Example 1 _ Cash Flows'!AG51)</f>
        <v>2750</v>
      </c>
      <c r="J92" s="226">
        <f>SUM('Example 1 _ Cash Flows'!AG83)</f>
        <v>2750</v>
      </c>
      <c r="K92" s="226">
        <f>SUM('Example 1 _ Cash Flows'!AG83)</f>
        <v>2750</v>
      </c>
      <c r="L92" s="226">
        <f>SUM('Example 1 _ Cash Flows'!AG112)</f>
        <v>2750</v>
      </c>
      <c r="M92" s="226">
        <f>SUM('Example 1 _ Cash Flows'!AG166)</f>
        <v>2750</v>
      </c>
      <c r="N92" s="227">
        <f t="shared" si="17"/>
        <v>32650</v>
      </c>
    </row>
    <row r="93" spans="1:15" x14ac:dyDescent="0.3">
      <c r="A93" s="1" t="s">
        <v>100</v>
      </c>
      <c r="B93" s="2"/>
      <c r="C93" s="2"/>
      <c r="D93" s="2"/>
      <c r="E93" s="2"/>
      <c r="F93" s="3">
        <f>58.79</f>
        <v>58.79</v>
      </c>
      <c r="G93" s="2"/>
      <c r="H93" s="126"/>
      <c r="I93" s="126"/>
      <c r="J93" s="126"/>
      <c r="K93" s="126"/>
      <c r="L93" s="126"/>
      <c r="M93" s="126"/>
      <c r="N93" s="3">
        <f t="shared" si="17"/>
        <v>58.79</v>
      </c>
    </row>
    <row r="94" spans="1:15" x14ac:dyDescent="0.3">
      <c r="A94" s="1" t="s">
        <v>101</v>
      </c>
      <c r="B94" s="3">
        <f>200</f>
        <v>200</v>
      </c>
      <c r="C94" s="3">
        <f>200</f>
        <v>200</v>
      </c>
      <c r="D94" s="3">
        <f>200</f>
        <v>200</v>
      </c>
      <c r="E94" s="3">
        <f>200</f>
        <v>200</v>
      </c>
      <c r="F94" s="3">
        <f>200</f>
        <v>200</v>
      </c>
      <c r="G94" s="3">
        <f>462.5</f>
        <v>462.5</v>
      </c>
      <c r="H94" s="3">
        <f>200</f>
        <v>200</v>
      </c>
      <c r="I94" s="3">
        <f>200+'Example 1 _ Cash Flows'!AK51</f>
        <v>450</v>
      </c>
      <c r="J94" s="3">
        <f>200+'Example 1 _ Cash Flows'!AK83</f>
        <v>450</v>
      </c>
      <c r="K94" s="3">
        <f>200+'Example 1 _ Cash Flows'!AK112</f>
        <v>450</v>
      </c>
      <c r="L94" s="3">
        <f>200+'Example 1 _ Cash Flows'!AK138</f>
        <v>450</v>
      </c>
      <c r="M94" s="3">
        <f>200+'Example 1 _ Cash Flows'!AK166</f>
        <v>450</v>
      </c>
      <c r="N94" s="3">
        <f t="shared" si="17"/>
        <v>3912.5</v>
      </c>
    </row>
    <row r="95" spans="1:15" x14ac:dyDescent="0.3">
      <c r="A95" s="1" t="s">
        <v>102</v>
      </c>
      <c r="B95" s="3">
        <f>163.92</f>
        <v>163.92</v>
      </c>
      <c r="C95" s="2"/>
      <c r="D95" s="2"/>
      <c r="E95" s="2"/>
      <c r="F95" s="3">
        <f>166.24</f>
        <v>166.24</v>
      </c>
      <c r="G95" s="3">
        <f>50</f>
        <v>50</v>
      </c>
      <c r="H95" s="126"/>
      <c r="I95" s="126"/>
      <c r="J95" s="126"/>
      <c r="K95" s="126"/>
      <c r="L95" s="126"/>
      <c r="M95" s="126"/>
      <c r="N95" s="3">
        <f t="shared" si="17"/>
        <v>380.15999999999997</v>
      </c>
    </row>
    <row r="96" spans="1:15" x14ac:dyDescent="0.3">
      <c r="A96" s="1" t="s">
        <v>103</v>
      </c>
      <c r="B96" s="4">
        <f t="shared" ref="B96:M96" si="21">(((((((((B86)+(B87))+(B88))+(B89))+(B90))+(B91))+(B92))+(B93))+(B94))+(B95)</f>
        <v>44864.23</v>
      </c>
      <c r="C96" s="4">
        <f t="shared" si="21"/>
        <v>40745.590000000004</v>
      </c>
      <c r="D96" s="4">
        <f t="shared" si="21"/>
        <v>46095.92</v>
      </c>
      <c r="E96" s="4">
        <f t="shared" si="21"/>
        <v>32926.410000000003</v>
      </c>
      <c r="F96" s="4">
        <f t="shared" si="21"/>
        <v>33772.97</v>
      </c>
      <c r="G96" s="4">
        <f t="shared" si="21"/>
        <v>33023.369999999995</v>
      </c>
      <c r="H96" s="4">
        <f t="shared" si="21"/>
        <v>35518.92</v>
      </c>
      <c r="I96" s="4">
        <f t="shared" si="21"/>
        <v>36463.75</v>
      </c>
      <c r="J96" s="4">
        <f t="shared" si="21"/>
        <v>36463.75</v>
      </c>
      <c r="K96" s="4">
        <f t="shared" si="21"/>
        <v>36463.75</v>
      </c>
      <c r="L96" s="4">
        <f t="shared" si="21"/>
        <v>36463.75</v>
      </c>
      <c r="M96" s="4">
        <f t="shared" si="21"/>
        <v>36463.75</v>
      </c>
      <c r="N96" s="4">
        <f t="shared" si="17"/>
        <v>449266.16</v>
      </c>
    </row>
    <row r="97" spans="1:15" x14ac:dyDescent="0.3">
      <c r="A97" s="1" t="s">
        <v>104</v>
      </c>
      <c r="B97" s="4">
        <f t="shared" ref="B97:M97" si="22">(((B48)+(B61))+(B85))+(B96)</f>
        <v>102407.95000000001</v>
      </c>
      <c r="C97" s="4">
        <f t="shared" si="22"/>
        <v>189358.77</v>
      </c>
      <c r="D97" s="4">
        <f t="shared" si="22"/>
        <v>153845.65999999997</v>
      </c>
      <c r="E97" s="4">
        <f t="shared" si="22"/>
        <v>130791.37</v>
      </c>
      <c r="F97" s="4">
        <f t="shared" si="22"/>
        <v>123618.35</v>
      </c>
      <c r="G97" s="4">
        <f t="shared" si="22"/>
        <v>83165.45</v>
      </c>
      <c r="H97" s="4">
        <f t="shared" si="22"/>
        <v>86988.987499999988</v>
      </c>
      <c r="I97" s="4">
        <f t="shared" si="22"/>
        <v>94542.662500000006</v>
      </c>
      <c r="J97" s="4">
        <f t="shared" si="22"/>
        <v>160634.9025</v>
      </c>
      <c r="K97" s="4">
        <f t="shared" si="22"/>
        <v>79957.302499999991</v>
      </c>
      <c r="L97" s="4">
        <f t="shared" si="22"/>
        <v>78457.302499999991</v>
      </c>
      <c r="M97" s="4">
        <f t="shared" si="22"/>
        <v>78457.202499999999</v>
      </c>
      <c r="N97" s="4">
        <f t="shared" si="17"/>
        <v>1362225.9099999997</v>
      </c>
    </row>
    <row r="98" spans="1:15" x14ac:dyDescent="0.3">
      <c r="A98" s="1" t="s">
        <v>105</v>
      </c>
      <c r="B98" s="4">
        <f t="shared" ref="B98:M98" si="23">(B16)-(B97)</f>
        <v>16796.039999999994</v>
      </c>
      <c r="C98" s="4">
        <f t="shared" si="23"/>
        <v>-68812.349999999991</v>
      </c>
      <c r="D98" s="4">
        <f t="shared" si="23"/>
        <v>-34156.209999999977</v>
      </c>
      <c r="E98" s="4">
        <f t="shared" si="23"/>
        <v>54571.19</v>
      </c>
      <c r="F98" s="4">
        <f t="shared" si="23"/>
        <v>-3580.7300000000105</v>
      </c>
      <c r="G98" s="4">
        <f t="shared" si="23"/>
        <v>36035.460000000006</v>
      </c>
      <c r="H98" s="4">
        <f t="shared" si="23"/>
        <v>32183.232500000013</v>
      </c>
      <c r="I98" s="4">
        <f t="shared" si="23"/>
        <v>24629.557499999995</v>
      </c>
      <c r="J98" s="4">
        <f t="shared" si="23"/>
        <v>-41462.682499999995</v>
      </c>
      <c r="K98" s="4">
        <f t="shared" si="23"/>
        <v>39214.91750000001</v>
      </c>
      <c r="L98" s="4">
        <f t="shared" si="23"/>
        <v>40714.91750000001</v>
      </c>
      <c r="M98" s="4">
        <f t="shared" si="23"/>
        <v>40715.017500000002</v>
      </c>
      <c r="N98" s="4">
        <f t="shared" si="17"/>
        <v>136848.36000000004</v>
      </c>
    </row>
    <row r="99" spans="1:15" x14ac:dyDescent="0.3">
      <c r="A99" s="1" t="s">
        <v>106</v>
      </c>
      <c r="B99" s="5">
        <f t="shared" ref="B99:M99" si="24">(B98)+(0)</f>
        <v>16796.039999999994</v>
      </c>
      <c r="C99" s="5">
        <f t="shared" si="24"/>
        <v>-68812.349999999991</v>
      </c>
      <c r="D99" s="5">
        <f t="shared" si="24"/>
        <v>-34156.209999999977</v>
      </c>
      <c r="E99" s="5">
        <f t="shared" si="24"/>
        <v>54571.19</v>
      </c>
      <c r="F99" s="5">
        <f t="shared" si="24"/>
        <v>-3580.7300000000105</v>
      </c>
      <c r="G99" s="5">
        <f t="shared" si="24"/>
        <v>36035.460000000006</v>
      </c>
      <c r="H99" s="5">
        <f t="shared" si="24"/>
        <v>32183.232500000013</v>
      </c>
      <c r="I99" s="5">
        <f t="shared" si="24"/>
        <v>24629.557499999995</v>
      </c>
      <c r="J99" s="5">
        <f t="shared" si="24"/>
        <v>-41462.682499999995</v>
      </c>
      <c r="K99" s="5">
        <f t="shared" si="24"/>
        <v>39214.91750000001</v>
      </c>
      <c r="L99" s="5">
        <f t="shared" si="24"/>
        <v>40714.91750000001</v>
      </c>
      <c r="M99" s="5">
        <f t="shared" si="24"/>
        <v>40715.017500000002</v>
      </c>
      <c r="N99" s="5">
        <f t="shared" si="17"/>
        <v>136848.36000000004</v>
      </c>
    </row>
    <row r="100" spans="1:15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5" x14ac:dyDescent="0.3">
      <c r="A101" s="221"/>
      <c r="B101" s="222" t="s">
        <v>0</v>
      </c>
      <c r="C101" s="222" t="s">
        <v>1</v>
      </c>
      <c r="D101" s="222" t="s">
        <v>2</v>
      </c>
      <c r="E101" s="222" t="s">
        <v>3</v>
      </c>
      <c r="F101" s="222" t="s">
        <v>4</v>
      </c>
      <c r="G101" s="222" t="s">
        <v>5</v>
      </c>
      <c r="H101" s="222" t="s">
        <v>6</v>
      </c>
      <c r="I101" s="222" t="s">
        <v>7</v>
      </c>
      <c r="J101" s="222" t="s">
        <v>8</v>
      </c>
      <c r="K101" s="222" t="s">
        <v>9</v>
      </c>
      <c r="L101" s="222" t="s">
        <v>10</v>
      </c>
      <c r="M101" s="222" t="s">
        <v>11</v>
      </c>
      <c r="N101" s="222" t="s">
        <v>12</v>
      </c>
      <c r="O101" s="223" t="s">
        <v>349</v>
      </c>
    </row>
    <row r="103" spans="1:15" x14ac:dyDescent="0.3">
      <c r="A103" s="581" t="s">
        <v>107</v>
      </c>
      <c r="B103" s="582"/>
      <c r="C103" s="582"/>
      <c r="D103" s="582"/>
      <c r="E103" s="582"/>
      <c r="F103" s="582"/>
      <c r="G103" s="582"/>
      <c r="H103" s="582"/>
      <c r="I103" s="582"/>
      <c r="J103" s="582"/>
      <c r="K103" s="582"/>
      <c r="L103" s="582"/>
      <c r="M103" s="582"/>
      <c r="N103" s="582"/>
    </row>
  </sheetData>
  <mergeCells count="4">
    <mergeCell ref="A1:N1"/>
    <mergeCell ref="A2:N2"/>
    <mergeCell ref="A3:N3"/>
    <mergeCell ref="A103:N103"/>
  </mergeCells>
  <printOptions horizontalCentered="1" verticalCentered="1"/>
  <pageMargins left="0.25" right="0.25" top="0.25" bottom="0.25" header="0" footer="0"/>
  <pageSetup scale="69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A3142-D3D4-48FE-BF82-90396FDF702D}">
  <sheetPr codeName="Sheet7">
    <pageSetUpPr fitToPage="1"/>
  </sheetPr>
  <dimension ref="A1:AZ195"/>
  <sheetViews>
    <sheetView zoomScaleNormal="100" workbookViewId="0">
      <pane ySplit="4" topLeftCell="A5" activePane="bottomLeft" state="frozen"/>
      <selection activeCell="I3" sqref="I3"/>
      <selection pane="bottomLeft" activeCell="A3" sqref="A3:F3"/>
    </sheetView>
  </sheetViews>
  <sheetFormatPr defaultRowHeight="14.4" x14ac:dyDescent="0.3"/>
  <cols>
    <col min="1" max="1" width="2.44140625" style="8" bestFit="1" customWidth="1"/>
    <col min="2" max="2" width="23" style="413" customWidth="1"/>
    <col min="3" max="3" width="9.5546875" style="413" bestFit="1" customWidth="1"/>
    <col min="4" max="4" width="10.6640625" style="413" bestFit="1" customWidth="1"/>
    <col min="5" max="5" width="29.6640625" style="14" bestFit="1" customWidth="1"/>
    <col min="6" max="6" width="14.109375" style="413" bestFit="1" customWidth="1"/>
    <col min="7" max="7" width="13.88671875" style="84" hidden="1" customWidth="1"/>
    <col min="8" max="8" width="11.6640625" style="84" hidden="1" customWidth="1"/>
    <col min="9" max="9" width="9.5546875" style="84" hidden="1" customWidth="1"/>
    <col min="10" max="10" width="7.88671875" style="84" hidden="1" customWidth="1"/>
    <col min="11" max="11" width="9" style="7" hidden="1" customWidth="1"/>
    <col min="12" max="12" width="4.44140625" style="38" hidden="1" customWidth="1"/>
    <col min="13" max="13" width="9.88671875" style="7" hidden="1" customWidth="1"/>
    <col min="14" max="14" width="4.44140625" style="7" hidden="1" customWidth="1"/>
    <col min="15" max="15" width="9" style="7" hidden="1" customWidth="1"/>
    <col min="16" max="16" width="4.44140625" style="7" hidden="1" customWidth="1"/>
    <col min="17" max="17" width="9" style="7" hidden="1" customWidth="1"/>
    <col min="18" max="18" width="4.44140625" style="7" hidden="1" customWidth="1"/>
    <col min="19" max="19" width="7.6640625" style="7" hidden="1" customWidth="1"/>
    <col min="20" max="20" width="9.88671875" style="7" hidden="1" customWidth="1"/>
    <col min="21" max="21" width="9.44140625" style="121" customWidth="1"/>
    <col min="22" max="22" width="9.44140625" style="62" customWidth="1"/>
    <col min="23" max="23" width="9.6640625" style="7" bestFit="1" customWidth="1"/>
    <col min="24" max="25" width="8" style="7" bestFit="1" customWidth="1"/>
    <col min="26" max="26" width="8.6640625" style="7" bestFit="1" customWidth="1"/>
    <col min="27" max="27" width="9.6640625" style="7" bestFit="1" customWidth="1"/>
    <col min="28" max="29" width="8.88671875" style="7" bestFit="1" customWidth="1"/>
    <col min="30" max="31" width="9.109375" style="7" bestFit="1" customWidth="1"/>
    <col min="32" max="32" width="6.6640625" style="7" bestFit="1" customWidth="1"/>
    <col min="33" max="33" width="9.109375" style="7" bestFit="1" customWidth="1"/>
    <col min="34" max="34" width="10" style="7" bestFit="1" customWidth="1"/>
    <col min="35" max="36" width="9.109375" style="7" bestFit="1" customWidth="1"/>
    <col min="37" max="41" width="8" style="7" bestFit="1" customWidth="1"/>
    <col min="42" max="42" width="8" style="7" customWidth="1"/>
    <col min="43" max="43" width="8" style="7" bestFit="1" customWidth="1"/>
    <col min="44" max="46" width="9.33203125" style="7" bestFit="1" customWidth="1"/>
    <col min="47" max="47" width="10.109375" style="7" bestFit="1" customWidth="1"/>
    <col min="48" max="49" width="10.109375" style="7" customWidth="1"/>
    <col min="50" max="50" width="9.33203125" style="62" bestFit="1" customWidth="1"/>
    <col min="51" max="51" width="10" style="121" bestFit="1" customWidth="1"/>
    <col min="52" max="52" width="11.109375" bestFit="1" customWidth="1"/>
  </cols>
  <sheetData>
    <row r="1" spans="1:51" s="37" customFormat="1" ht="15" customHeight="1" x14ac:dyDescent="0.3">
      <c r="A1" s="566" t="s">
        <v>108</v>
      </c>
      <c r="B1" s="566"/>
      <c r="C1" s="566"/>
      <c r="D1" s="566"/>
      <c r="E1" s="566"/>
      <c r="F1" s="566"/>
      <c r="G1" s="566"/>
      <c r="H1" s="74"/>
      <c r="I1" s="75"/>
      <c r="J1" s="75"/>
      <c r="K1" s="8"/>
      <c r="L1" s="39"/>
      <c r="M1" s="7"/>
      <c r="N1" s="7"/>
      <c r="O1" s="7"/>
      <c r="P1" s="7"/>
      <c r="Q1" s="7"/>
      <c r="R1" s="7"/>
      <c r="S1" s="7"/>
      <c r="T1" s="7"/>
      <c r="U1" s="121"/>
      <c r="V1" s="62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41"/>
      <c r="AR1" s="41"/>
      <c r="AS1" s="7"/>
      <c r="AT1" s="7"/>
      <c r="AU1" s="7"/>
      <c r="AV1" s="7"/>
      <c r="AW1" s="7"/>
      <c r="AX1" s="62"/>
      <c r="AY1" s="121"/>
    </row>
    <row r="2" spans="1:51" s="37" customFormat="1" ht="15" customHeight="1" x14ac:dyDescent="0.3">
      <c r="A2" s="566" t="s">
        <v>373</v>
      </c>
      <c r="B2" s="566"/>
      <c r="C2" s="566"/>
      <c r="D2" s="566"/>
      <c r="E2" s="566"/>
      <c r="F2" s="566"/>
      <c r="G2" s="566"/>
      <c r="H2" s="74"/>
      <c r="I2" s="75"/>
      <c r="J2" s="75"/>
      <c r="K2" s="8"/>
      <c r="L2" s="39"/>
      <c r="M2" s="7"/>
      <c r="N2" s="7"/>
      <c r="O2" s="7"/>
      <c r="P2" s="7"/>
      <c r="Q2" s="7"/>
      <c r="R2" s="7"/>
      <c r="S2" s="7"/>
      <c r="T2" s="7"/>
      <c r="U2" s="121"/>
      <c r="V2" s="71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41"/>
      <c r="AR2" s="41"/>
      <c r="AS2" s="7"/>
      <c r="AT2" s="7"/>
      <c r="AU2" s="7"/>
      <c r="AV2" s="7"/>
      <c r="AW2" s="7"/>
      <c r="AX2" s="62"/>
      <c r="AY2" s="121"/>
    </row>
    <row r="3" spans="1:51" s="37" customFormat="1" ht="15" customHeight="1" x14ac:dyDescent="0.3">
      <c r="A3" s="566" t="s">
        <v>381</v>
      </c>
      <c r="B3" s="566"/>
      <c r="C3" s="566"/>
      <c r="D3" s="566"/>
      <c r="E3" s="566"/>
      <c r="F3" s="566"/>
      <c r="G3" s="234"/>
      <c r="H3" s="74"/>
      <c r="I3" s="75"/>
      <c r="J3" s="75"/>
      <c r="K3" s="8"/>
      <c r="L3" s="39"/>
      <c r="M3" s="7"/>
      <c r="N3" s="7"/>
      <c r="O3" s="7"/>
      <c r="P3" s="7"/>
      <c r="Q3" s="7"/>
      <c r="R3" s="7"/>
      <c r="S3" s="7"/>
      <c r="T3" s="7"/>
      <c r="U3" s="121"/>
      <c r="V3" s="71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41"/>
      <c r="AR3" s="41"/>
      <c r="AS3" s="7"/>
      <c r="AT3" s="7"/>
      <c r="AU3" s="7"/>
      <c r="AV3" s="7"/>
      <c r="AW3" s="7"/>
      <c r="AX3" s="62"/>
      <c r="AY3" s="121"/>
    </row>
    <row r="4" spans="1:51" s="300" customFormat="1" ht="14.25" customHeight="1" thickBot="1" x14ac:dyDescent="0.25">
      <c r="A4" s="36" t="s">
        <v>261</v>
      </c>
      <c r="B4" s="424" t="s">
        <v>205</v>
      </c>
      <c r="C4" s="426" t="s">
        <v>130</v>
      </c>
      <c r="D4" s="427" t="s">
        <v>12</v>
      </c>
      <c r="E4" s="462" t="s">
        <v>204</v>
      </c>
      <c r="F4" s="428">
        <v>79801.72</v>
      </c>
      <c r="G4" s="591"/>
      <c r="H4" s="591"/>
      <c r="I4" s="591"/>
      <c r="J4" s="591"/>
      <c r="K4" s="278"/>
      <c r="L4" s="298"/>
      <c r="M4" s="278"/>
      <c r="N4" s="278"/>
      <c r="O4" s="278"/>
      <c r="P4" s="278"/>
      <c r="Q4" s="278"/>
      <c r="R4" s="278"/>
      <c r="S4" s="278"/>
      <c r="T4" s="278"/>
      <c r="U4" s="299">
        <v>7850</v>
      </c>
      <c r="V4" s="125">
        <v>7910</v>
      </c>
      <c r="W4" s="125">
        <v>7950</v>
      </c>
      <c r="X4" s="125">
        <v>6730</v>
      </c>
      <c r="Y4" s="125">
        <v>7100</v>
      </c>
      <c r="Z4" s="125">
        <v>5710</v>
      </c>
      <c r="AA4" s="125">
        <v>5130</v>
      </c>
      <c r="AB4" s="125">
        <v>5510</v>
      </c>
      <c r="AC4" s="125">
        <v>7650</v>
      </c>
      <c r="AD4" s="125">
        <v>5750</v>
      </c>
      <c r="AE4" s="125">
        <v>5520</v>
      </c>
      <c r="AF4" s="125">
        <v>7090</v>
      </c>
      <c r="AG4" s="125">
        <v>8570</v>
      </c>
      <c r="AH4" s="125">
        <v>8510</v>
      </c>
      <c r="AI4" s="125">
        <v>8520</v>
      </c>
      <c r="AJ4" s="125">
        <v>8530</v>
      </c>
      <c r="AK4" s="125">
        <v>8590</v>
      </c>
      <c r="AL4" s="125">
        <v>5170</v>
      </c>
      <c r="AM4" s="125">
        <v>6770</v>
      </c>
      <c r="AN4" s="125">
        <v>5540</v>
      </c>
      <c r="AO4" s="125">
        <v>6590</v>
      </c>
      <c r="AP4" s="125">
        <v>6510</v>
      </c>
      <c r="AQ4" s="125">
        <v>5780</v>
      </c>
      <c r="AR4" s="125">
        <v>8540</v>
      </c>
      <c r="AS4" s="125">
        <v>6720</v>
      </c>
      <c r="AT4" s="125">
        <v>5880</v>
      </c>
      <c r="AU4" s="125">
        <v>6550</v>
      </c>
      <c r="AV4" s="393">
        <v>5840</v>
      </c>
      <c r="AW4" s="125">
        <v>7010</v>
      </c>
      <c r="AX4" s="125">
        <v>7280</v>
      </c>
      <c r="AY4" s="299" t="s">
        <v>269</v>
      </c>
    </row>
    <row r="5" spans="1:51" s="300" customFormat="1" ht="14.25" customHeight="1" x14ac:dyDescent="0.2">
      <c r="A5" s="290">
        <v>1</v>
      </c>
      <c r="B5" s="429" t="s">
        <v>153</v>
      </c>
      <c r="C5" s="30">
        <v>100</v>
      </c>
      <c r="D5" s="430">
        <f t="shared" ref="D5:D30" si="0">SUM(C5*-1)</f>
        <v>-100</v>
      </c>
      <c r="E5" s="34">
        <v>43855</v>
      </c>
      <c r="F5" s="431">
        <f t="shared" ref="F5:F69" si="1">SUM(F4+D5)</f>
        <v>79701.72</v>
      </c>
      <c r="G5" s="301"/>
      <c r="H5" s="302">
        <v>7850</v>
      </c>
      <c r="I5" s="303">
        <f>C5</f>
        <v>100</v>
      </c>
      <c r="J5" s="302"/>
      <c r="K5" s="298"/>
      <c r="L5" s="278"/>
      <c r="M5" s="278"/>
      <c r="N5" s="278"/>
      <c r="O5" s="278"/>
      <c r="P5" s="278"/>
      <c r="Q5" s="278"/>
      <c r="R5" s="278"/>
      <c r="S5" s="278"/>
      <c r="T5" s="278"/>
      <c r="U5" s="304">
        <f>SUM(I5)</f>
        <v>100</v>
      </c>
      <c r="V5" s="305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78"/>
      <c r="AU5" s="278"/>
      <c r="AV5" s="278"/>
      <c r="AW5" s="278"/>
      <c r="AX5" s="293"/>
      <c r="AY5" s="304">
        <f t="shared" ref="AY5:AY15" si="2">SUM(U5:AX5)-C5</f>
        <v>0</v>
      </c>
    </row>
    <row r="6" spans="1:51" s="300" customFormat="1" ht="14.25" customHeight="1" x14ac:dyDescent="0.2">
      <c r="A6" s="290">
        <v>1</v>
      </c>
      <c r="B6" s="432" t="s">
        <v>150</v>
      </c>
      <c r="C6" s="433">
        <v>458.65</v>
      </c>
      <c r="D6" s="430">
        <f t="shared" si="0"/>
        <v>-458.65</v>
      </c>
      <c r="E6" s="28" t="s">
        <v>203</v>
      </c>
      <c r="F6" s="431">
        <f t="shared" si="1"/>
        <v>79243.070000000007</v>
      </c>
      <c r="G6" s="306"/>
      <c r="H6" s="302">
        <v>7910</v>
      </c>
      <c r="I6" s="303">
        <f>C6</f>
        <v>458.65</v>
      </c>
      <c r="J6" s="302"/>
      <c r="K6" s="298"/>
      <c r="L6" s="278"/>
      <c r="M6" s="278"/>
      <c r="N6" s="278"/>
      <c r="O6" s="278"/>
      <c r="P6" s="278"/>
      <c r="Q6" s="278"/>
      <c r="R6" s="278"/>
      <c r="S6" s="278"/>
      <c r="T6" s="278"/>
      <c r="U6" s="304"/>
      <c r="V6" s="305">
        <f>SUM(I6)</f>
        <v>458.65</v>
      </c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78"/>
      <c r="AU6" s="278"/>
      <c r="AV6" s="278"/>
      <c r="AW6" s="278"/>
      <c r="AX6" s="293"/>
      <c r="AY6" s="304">
        <f t="shared" si="2"/>
        <v>0</v>
      </c>
    </row>
    <row r="7" spans="1:51" s="300" customFormat="1" ht="14.25" customHeight="1" x14ac:dyDescent="0.2">
      <c r="A7" s="290">
        <v>1</v>
      </c>
      <c r="B7" s="432" t="s">
        <v>191</v>
      </c>
      <c r="C7" s="433">
        <v>81.95</v>
      </c>
      <c r="D7" s="430">
        <f t="shared" si="0"/>
        <v>-81.95</v>
      </c>
      <c r="E7" s="28" t="s">
        <v>202</v>
      </c>
      <c r="F7" s="431">
        <f t="shared" si="1"/>
        <v>79161.12000000001</v>
      </c>
      <c r="G7" s="306"/>
      <c r="H7" s="302">
        <v>7950</v>
      </c>
      <c r="I7" s="303">
        <f>C7</f>
        <v>81.95</v>
      </c>
      <c r="J7" s="302"/>
      <c r="K7" s="298"/>
      <c r="L7" s="278"/>
      <c r="M7" s="278"/>
      <c r="N7" s="278"/>
      <c r="O7" s="278"/>
      <c r="P7" s="278"/>
      <c r="Q7" s="278"/>
      <c r="R7" s="278"/>
      <c r="S7" s="278"/>
      <c r="T7" s="278"/>
      <c r="U7" s="304"/>
      <c r="V7" s="305"/>
      <c r="W7" s="242">
        <f>SUM(I7)</f>
        <v>81.95</v>
      </c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78"/>
      <c r="AU7" s="278"/>
      <c r="AV7" s="278"/>
      <c r="AW7" s="278"/>
      <c r="AX7" s="293"/>
      <c r="AY7" s="304">
        <f t="shared" si="2"/>
        <v>0</v>
      </c>
    </row>
    <row r="8" spans="1:51" s="300" customFormat="1" ht="14.25" customHeight="1" x14ac:dyDescent="0.2">
      <c r="A8" s="290">
        <v>1</v>
      </c>
      <c r="B8" s="432" t="s">
        <v>148</v>
      </c>
      <c r="C8" s="433">
        <v>386.23</v>
      </c>
      <c r="D8" s="430">
        <f t="shared" si="0"/>
        <v>-386.23</v>
      </c>
      <c r="E8" s="28" t="s">
        <v>202</v>
      </c>
      <c r="F8" s="431">
        <f t="shared" si="1"/>
        <v>78774.890000000014</v>
      </c>
      <c r="G8" s="306"/>
      <c r="H8" s="302">
        <v>7950</v>
      </c>
      <c r="I8" s="303">
        <f>C8</f>
        <v>386.23</v>
      </c>
      <c r="J8" s="302"/>
      <c r="K8" s="298"/>
      <c r="L8" s="278"/>
      <c r="M8" s="278"/>
      <c r="N8" s="278"/>
      <c r="O8" s="278"/>
      <c r="P8" s="278"/>
      <c r="Q8" s="278"/>
      <c r="R8" s="278"/>
      <c r="S8" s="278"/>
      <c r="T8" s="278"/>
      <c r="U8" s="304"/>
      <c r="V8" s="305"/>
      <c r="W8" s="242">
        <f>SUM(I8)</f>
        <v>386.23</v>
      </c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78"/>
      <c r="AU8" s="278"/>
      <c r="AV8" s="278"/>
      <c r="AW8" s="278"/>
      <c r="AX8" s="293"/>
      <c r="AY8" s="304">
        <f t="shared" si="2"/>
        <v>0</v>
      </c>
    </row>
    <row r="9" spans="1:51" s="300" customFormat="1" ht="14.25" customHeight="1" x14ac:dyDescent="0.2">
      <c r="A9" s="290">
        <v>1</v>
      </c>
      <c r="B9" s="432" t="s">
        <v>146</v>
      </c>
      <c r="C9" s="433">
        <v>149.99</v>
      </c>
      <c r="D9" s="430">
        <f t="shared" si="0"/>
        <v>-149.99</v>
      </c>
      <c r="E9" s="28" t="s">
        <v>202</v>
      </c>
      <c r="F9" s="431">
        <f t="shared" si="1"/>
        <v>78624.900000000009</v>
      </c>
      <c r="G9" s="306"/>
      <c r="H9" s="302">
        <v>7950</v>
      </c>
      <c r="I9" s="303">
        <f>C9</f>
        <v>149.99</v>
      </c>
      <c r="J9" s="302"/>
      <c r="K9" s="298"/>
      <c r="L9" s="278"/>
      <c r="M9" s="278"/>
      <c r="N9" s="278"/>
      <c r="O9" s="278"/>
      <c r="P9" s="278"/>
      <c r="Q9" s="278"/>
      <c r="R9" s="278"/>
      <c r="S9" s="21"/>
      <c r="T9" s="278"/>
      <c r="U9" s="304"/>
      <c r="V9" s="305"/>
      <c r="W9" s="242">
        <f>SUM(I9)</f>
        <v>149.99</v>
      </c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78"/>
      <c r="AU9" s="278"/>
      <c r="AV9" s="278"/>
      <c r="AW9" s="278"/>
      <c r="AX9" s="293"/>
      <c r="AY9" s="304">
        <f t="shared" si="2"/>
        <v>0</v>
      </c>
    </row>
    <row r="10" spans="1:51" s="300" customFormat="1" ht="14.25" customHeight="1" x14ac:dyDescent="0.2">
      <c r="A10" s="290">
        <v>1</v>
      </c>
      <c r="B10" s="432" t="s">
        <v>279</v>
      </c>
      <c r="C10" s="433">
        <f>SUM('TS 2019_2020 Est Travel'!G7)</f>
        <v>330.78</v>
      </c>
      <c r="D10" s="430">
        <f t="shared" si="0"/>
        <v>-330.78</v>
      </c>
      <c r="E10" s="28" t="s">
        <v>280</v>
      </c>
      <c r="F10" s="431">
        <f t="shared" si="1"/>
        <v>78294.12000000001</v>
      </c>
      <c r="G10" s="306"/>
      <c r="H10" s="302"/>
      <c r="I10" s="303"/>
      <c r="J10" s="302"/>
      <c r="K10" s="298"/>
      <c r="L10" s="278"/>
      <c r="M10" s="278"/>
      <c r="N10" s="278"/>
      <c r="O10" s="278"/>
      <c r="P10" s="278"/>
      <c r="Q10" s="278"/>
      <c r="R10" s="278"/>
      <c r="S10" s="21"/>
      <c r="T10" s="278"/>
      <c r="U10" s="304"/>
      <c r="V10" s="305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>
        <f>SUM(C10)</f>
        <v>330.78</v>
      </c>
      <c r="AP10" s="242"/>
      <c r="AQ10" s="242"/>
      <c r="AR10" s="242"/>
      <c r="AS10" s="242"/>
      <c r="AT10" s="278"/>
      <c r="AU10" s="278"/>
      <c r="AV10" s="278"/>
      <c r="AW10" s="278"/>
      <c r="AX10" s="293"/>
      <c r="AY10" s="304">
        <f t="shared" si="2"/>
        <v>0</v>
      </c>
    </row>
    <row r="11" spans="1:51" s="300" customFormat="1" ht="14.25" customHeight="1" x14ac:dyDescent="0.2">
      <c r="A11" s="290">
        <v>1</v>
      </c>
      <c r="B11" s="432" t="s">
        <v>144</v>
      </c>
      <c r="C11" s="433">
        <v>300</v>
      </c>
      <c r="D11" s="430">
        <f t="shared" si="0"/>
        <v>-300</v>
      </c>
      <c r="E11" s="28" t="s">
        <v>200</v>
      </c>
      <c r="F11" s="431">
        <f t="shared" si="1"/>
        <v>77994.12000000001</v>
      </c>
      <c r="G11" s="306"/>
      <c r="H11" s="302">
        <v>6730</v>
      </c>
      <c r="I11" s="303">
        <f>C11</f>
        <v>300</v>
      </c>
      <c r="J11" s="302"/>
      <c r="K11" s="298"/>
      <c r="L11" s="278"/>
      <c r="M11" s="278"/>
      <c r="N11" s="278"/>
      <c r="O11" s="278"/>
      <c r="P11" s="278"/>
      <c r="Q11" s="278"/>
      <c r="R11" s="278"/>
      <c r="S11" s="278"/>
      <c r="T11" s="278"/>
      <c r="U11" s="304"/>
      <c r="V11" s="305"/>
      <c r="W11" s="242">
        <f>SUM(I11)</f>
        <v>300</v>
      </c>
      <c r="X11" s="278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78"/>
      <c r="AU11" s="278"/>
      <c r="AV11" s="278"/>
      <c r="AW11" s="278"/>
      <c r="AX11" s="293"/>
      <c r="AY11" s="304">
        <f t="shared" si="2"/>
        <v>0</v>
      </c>
    </row>
    <row r="12" spans="1:51" s="300" customFormat="1" ht="14.25" customHeight="1" x14ac:dyDescent="0.2">
      <c r="A12" s="290">
        <v>1</v>
      </c>
      <c r="B12" s="40" t="s">
        <v>143</v>
      </c>
      <c r="C12" s="433">
        <v>75</v>
      </c>
      <c r="D12" s="430">
        <f t="shared" si="0"/>
        <v>-75</v>
      </c>
      <c r="E12" s="28" t="s">
        <v>200</v>
      </c>
      <c r="F12" s="431">
        <f t="shared" si="1"/>
        <v>77919.12000000001</v>
      </c>
      <c r="G12" s="306"/>
      <c r="H12" s="302">
        <v>7010</v>
      </c>
      <c r="I12" s="303">
        <f>C12</f>
        <v>75</v>
      </c>
      <c r="J12" s="302"/>
      <c r="K12" s="298"/>
      <c r="L12" s="278"/>
      <c r="M12" s="278"/>
      <c r="N12" s="278"/>
      <c r="O12" s="278"/>
      <c r="P12" s="278"/>
      <c r="Q12" s="278"/>
      <c r="R12" s="278"/>
      <c r="S12" s="278"/>
      <c r="T12" s="278"/>
      <c r="U12" s="304"/>
      <c r="V12" s="305"/>
      <c r="W12" s="242">
        <f>SUM(I12)</f>
        <v>75</v>
      </c>
      <c r="X12" s="242"/>
      <c r="Y12" s="278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78"/>
      <c r="AU12" s="278"/>
      <c r="AV12" s="278"/>
      <c r="AW12" s="278"/>
      <c r="AX12" s="293"/>
      <c r="AY12" s="304">
        <f t="shared" si="2"/>
        <v>0</v>
      </c>
    </row>
    <row r="13" spans="1:51" s="300" customFormat="1" ht="14.25" customHeight="1" x14ac:dyDescent="0.2">
      <c r="A13" s="290">
        <v>1</v>
      </c>
      <c r="B13" s="432" t="s">
        <v>142</v>
      </c>
      <c r="C13" s="433">
        <v>2500</v>
      </c>
      <c r="D13" s="430">
        <f t="shared" si="0"/>
        <v>-2500</v>
      </c>
      <c r="E13" s="28" t="s">
        <v>201</v>
      </c>
      <c r="F13" s="431">
        <f t="shared" si="1"/>
        <v>75419.12000000001</v>
      </c>
      <c r="G13" s="306"/>
      <c r="H13" s="302">
        <v>7950</v>
      </c>
      <c r="I13" s="303">
        <f>C13</f>
        <v>2500</v>
      </c>
      <c r="J13" s="302"/>
      <c r="K13" s="298"/>
      <c r="L13" s="278"/>
      <c r="M13" s="278"/>
      <c r="N13" s="278"/>
      <c r="O13" s="278"/>
      <c r="P13" s="278"/>
      <c r="Q13" s="278"/>
      <c r="R13" s="278"/>
      <c r="S13" s="278"/>
      <c r="T13" s="278"/>
      <c r="U13" s="304"/>
      <c r="V13" s="305"/>
      <c r="W13" s="278"/>
      <c r="X13" s="242"/>
      <c r="Y13" s="242"/>
      <c r="Z13" s="242">
        <f>SUM(I13)</f>
        <v>2500</v>
      </c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78"/>
      <c r="AU13" s="278"/>
      <c r="AV13" s="278"/>
      <c r="AW13" s="278"/>
      <c r="AX13" s="293"/>
      <c r="AY13" s="304">
        <f t="shared" si="2"/>
        <v>0</v>
      </c>
    </row>
    <row r="14" spans="1:51" s="300" customFormat="1" ht="14.25" customHeight="1" x14ac:dyDescent="0.2">
      <c r="A14" s="290">
        <v>1</v>
      </c>
      <c r="B14" s="432" t="s">
        <v>139</v>
      </c>
      <c r="C14" s="433">
        <v>750</v>
      </c>
      <c r="D14" s="430">
        <f t="shared" si="0"/>
        <v>-750</v>
      </c>
      <c r="E14" s="28" t="s">
        <v>200</v>
      </c>
      <c r="F14" s="431">
        <f t="shared" si="1"/>
        <v>74669.12000000001</v>
      </c>
      <c r="G14" s="306"/>
      <c r="H14" s="302">
        <v>7950</v>
      </c>
      <c r="I14" s="303">
        <f>C14</f>
        <v>750</v>
      </c>
      <c r="J14" s="302"/>
      <c r="K14" s="298"/>
      <c r="L14" s="278"/>
      <c r="M14" s="278"/>
      <c r="N14" s="278"/>
      <c r="O14" s="278"/>
      <c r="P14" s="278"/>
      <c r="Q14" s="278"/>
      <c r="R14" s="278"/>
      <c r="S14" s="278"/>
      <c r="T14" s="278"/>
      <c r="U14" s="304"/>
      <c r="V14" s="305"/>
      <c r="W14" s="278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293"/>
      <c r="AU14" s="293"/>
      <c r="AV14" s="293"/>
      <c r="AW14" s="305">
        <f>SUM(I14)</f>
        <v>750</v>
      </c>
      <c r="AX14" s="293"/>
      <c r="AY14" s="304">
        <f t="shared" si="2"/>
        <v>0</v>
      </c>
    </row>
    <row r="15" spans="1:51" s="300" customFormat="1" ht="14.25" customHeight="1" x14ac:dyDescent="0.2">
      <c r="A15" s="290">
        <v>1</v>
      </c>
      <c r="B15" s="432" t="s">
        <v>279</v>
      </c>
      <c r="C15" s="433">
        <f>SUM('TS 2019_2020 Est Travel'!F36:F37)</f>
        <v>1967.22</v>
      </c>
      <c r="D15" s="430">
        <f t="shared" si="0"/>
        <v>-1967.22</v>
      </c>
      <c r="E15" s="28" t="s">
        <v>290</v>
      </c>
      <c r="F15" s="431">
        <f t="shared" si="1"/>
        <v>72701.900000000009</v>
      </c>
      <c r="G15" s="306"/>
      <c r="H15" s="302"/>
      <c r="I15" s="303"/>
      <c r="J15" s="302"/>
      <c r="K15" s="298"/>
      <c r="L15" s="278"/>
      <c r="M15" s="278"/>
      <c r="N15" s="278"/>
      <c r="O15" s="278"/>
      <c r="P15" s="278"/>
      <c r="Q15" s="278"/>
      <c r="R15" s="278"/>
      <c r="S15" s="278"/>
      <c r="T15" s="278"/>
      <c r="U15" s="304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5"/>
      <c r="AM15" s="305"/>
      <c r="AN15" s="305"/>
      <c r="AO15" s="305"/>
      <c r="AP15" s="305"/>
      <c r="AQ15" s="305"/>
      <c r="AR15" s="305"/>
      <c r="AS15" s="305"/>
      <c r="AT15" s="293"/>
      <c r="AU15" s="305">
        <f>SUM(C15)</f>
        <v>1967.22</v>
      </c>
      <c r="AV15" s="305"/>
      <c r="AW15" s="305"/>
      <c r="AX15" s="293"/>
      <c r="AY15" s="304">
        <f t="shared" si="2"/>
        <v>0</v>
      </c>
    </row>
    <row r="16" spans="1:51" s="300" customFormat="1" ht="14.25" customHeight="1" thickBot="1" x14ac:dyDescent="0.25">
      <c r="A16" s="290">
        <v>1</v>
      </c>
      <c r="B16" s="432" t="s">
        <v>279</v>
      </c>
      <c r="C16" s="433">
        <f>SUM('TS 2019_2020 Est Travel'!G10+'TS 2019_2020 Est Travel'!G13)</f>
        <v>1146</v>
      </c>
      <c r="D16" s="430">
        <f t="shared" si="0"/>
        <v>-1146</v>
      </c>
      <c r="E16" s="28" t="s">
        <v>281</v>
      </c>
      <c r="F16" s="431">
        <f t="shared" si="1"/>
        <v>71555.900000000009</v>
      </c>
      <c r="G16" s="302"/>
      <c r="H16" s="302"/>
      <c r="I16" s="306"/>
      <c r="J16" s="302"/>
      <c r="K16" s="298"/>
      <c r="L16" s="278"/>
      <c r="M16" s="278"/>
      <c r="N16" s="278"/>
      <c r="O16" s="278"/>
      <c r="P16" s="278"/>
      <c r="Q16" s="278"/>
      <c r="R16" s="278"/>
      <c r="S16" s="278"/>
      <c r="T16" s="278"/>
      <c r="U16" s="307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8"/>
      <c r="AI16" s="308"/>
      <c r="AJ16" s="308"/>
      <c r="AK16" s="308"/>
      <c r="AL16" s="308"/>
      <c r="AM16" s="308"/>
      <c r="AN16" s="308"/>
      <c r="AO16" s="308"/>
      <c r="AP16" s="308"/>
      <c r="AQ16" s="308"/>
      <c r="AR16" s="308"/>
      <c r="AS16" s="308">
        <f>SUM(C16)</f>
        <v>1146</v>
      </c>
      <c r="AT16" s="309"/>
      <c r="AU16" s="309"/>
      <c r="AV16" s="309"/>
      <c r="AW16" s="309"/>
      <c r="AX16" s="309"/>
      <c r="AY16" s="307"/>
    </row>
    <row r="17" spans="1:51" s="300" customFormat="1" ht="14.25" customHeight="1" x14ac:dyDescent="0.2">
      <c r="A17" s="290"/>
      <c r="B17" s="432"/>
      <c r="C17" s="433"/>
      <c r="D17" s="430"/>
      <c r="E17" s="463" t="s">
        <v>282</v>
      </c>
      <c r="F17" s="431">
        <f t="shared" si="1"/>
        <v>71555.900000000009</v>
      </c>
      <c r="G17" s="302"/>
      <c r="H17" s="302"/>
      <c r="I17" s="306"/>
      <c r="J17" s="302"/>
      <c r="K17" s="298"/>
      <c r="L17" s="278"/>
      <c r="M17" s="278"/>
      <c r="N17" s="278"/>
      <c r="O17" s="278"/>
      <c r="P17" s="278"/>
      <c r="Q17" s="278"/>
      <c r="R17" s="278"/>
      <c r="S17" s="278"/>
      <c r="T17" s="278"/>
      <c r="U17" s="310">
        <f t="shared" ref="U17:AX17" si="3">SUM(U5:U16)</f>
        <v>100</v>
      </c>
      <c r="V17" s="311">
        <f t="shared" si="3"/>
        <v>458.65</v>
      </c>
      <c r="W17" s="311">
        <f t="shared" si="3"/>
        <v>993.17000000000007</v>
      </c>
      <c r="X17" s="311">
        <f t="shared" si="3"/>
        <v>0</v>
      </c>
      <c r="Y17" s="311">
        <f t="shared" si="3"/>
        <v>0</v>
      </c>
      <c r="Z17" s="311">
        <f t="shared" si="3"/>
        <v>2500</v>
      </c>
      <c r="AA17" s="311">
        <f t="shared" si="3"/>
        <v>0</v>
      </c>
      <c r="AB17" s="311">
        <f t="shared" si="3"/>
        <v>0</v>
      </c>
      <c r="AC17" s="311">
        <f t="shared" si="3"/>
        <v>0</v>
      </c>
      <c r="AD17" s="311">
        <f t="shared" si="3"/>
        <v>0</v>
      </c>
      <c r="AE17" s="311">
        <f t="shared" si="3"/>
        <v>0</v>
      </c>
      <c r="AF17" s="311">
        <f t="shared" si="3"/>
        <v>0</v>
      </c>
      <c r="AG17" s="311">
        <f t="shared" si="3"/>
        <v>0</v>
      </c>
      <c r="AH17" s="311">
        <f t="shared" si="3"/>
        <v>0</v>
      </c>
      <c r="AI17" s="311">
        <f t="shared" si="3"/>
        <v>0</v>
      </c>
      <c r="AJ17" s="311">
        <f t="shared" si="3"/>
        <v>0</v>
      </c>
      <c r="AK17" s="311">
        <f t="shared" si="3"/>
        <v>0</v>
      </c>
      <c r="AL17" s="311">
        <f t="shared" si="3"/>
        <v>0</v>
      </c>
      <c r="AM17" s="311">
        <f t="shared" si="3"/>
        <v>0</v>
      </c>
      <c r="AN17" s="311">
        <f t="shared" si="3"/>
        <v>0</v>
      </c>
      <c r="AO17" s="311">
        <f t="shared" si="3"/>
        <v>330.78</v>
      </c>
      <c r="AP17" s="311">
        <f t="shared" si="3"/>
        <v>0</v>
      </c>
      <c r="AQ17" s="311">
        <f t="shared" si="3"/>
        <v>0</v>
      </c>
      <c r="AR17" s="311">
        <f t="shared" si="3"/>
        <v>0</v>
      </c>
      <c r="AS17" s="311">
        <f t="shared" si="3"/>
        <v>1146</v>
      </c>
      <c r="AT17" s="311">
        <f t="shared" si="3"/>
        <v>0</v>
      </c>
      <c r="AU17" s="311">
        <f t="shared" si="3"/>
        <v>1967.22</v>
      </c>
      <c r="AV17" s="311"/>
      <c r="AW17" s="311">
        <f t="shared" si="3"/>
        <v>750</v>
      </c>
      <c r="AX17" s="311">
        <f t="shared" si="3"/>
        <v>0</v>
      </c>
      <c r="AY17" s="312"/>
    </row>
    <row r="18" spans="1:51" s="300" customFormat="1" ht="14.25" customHeight="1" x14ac:dyDescent="0.2">
      <c r="A18" s="290"/>
      <c r="B18" s="432"/>
      <c r="C18" s="433"/>
      <c r="D18" s="430"/>
      <c r="E18" s="28"/>
      <c r="F18" s="431">
        <f t="shared" si="1"/>
        <v>71555.900000000009</v>
      </c>
      <c r="G18" s="302"/>
      <c r="H18" s="302"/>
      <c r="I18" s="306"/>
      <c r="J18" s="302"/>
      <c r="K18" s="298"/>
      <c r="L18" s="278"/>
      <c r="M18" s="278"/>
      <c r="N18" s="278"/>
      <c r="O18" s="278"/>
      <c r="P18" s="278"/>
      <c r="Q18" s="278"/>
      <c r="R18" s="278"/>
      <c r="S18" s="278"/>
      <c r="T18" s="278"/>
      <c r="U18" s="304"/>
      <c r="V18" s="305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78"/>
      <c r="AU18" s="278"/>
      <c r="AV18" s="278"/>
      <c r="AW18" s="278"/>
      <c r="AX18" s="293"/>
      <c r="AY18" s="304"/>
    </row>
    <row r="19" spans="1:51" s="300" customFormat="1" ht="14.25" customHeight="1" x14ac:dyDescent="0.2">
      <c r="A19" s="290">
        <v>2</v>
      </c>
      <c r="B19" s="432" t="s">
        <v>199</v>
      </c>
      <c r="C19" s="433">
        <v>6000</v>
      </c>
      <c r="D19" s="430">
        <f t="shared" si="0"/>
        <v>-6000</v>
      </c>
      <c r="E19" s="28" t="s">
        <v>195</v>
      </c>
      <c r="F19" s="431">
        <f t="shared" si="1"/>
        <v>65555.900000000009</v>
      </c>
      <c r="G19" s="302"/>
      <c r="H19" s="302">
        <v>5130</v>
      </c>
      <c r="I19" s="306">
        <f>SUM(C19)</f>
        <v>6000</v>
      </c>
      <c r="J19" s="302"/>
      <c r="K19" s="298"/>
      <c r="L19" s="278"/>
      <c r="M19" s="278"/>
      <c r="N19" s="278"/>
      <c r="O19" s="278"/>
      <c r="P19" s="278"/>
      <c r="Q19" s="278"/>
      <c r="R19" s="278"/>
      <c r="S19" s="278"/>
      <c r="T19" s="278"/>
      <c r="U19" s="304"/>
      <c r="V19" s="305"/>
      <c r="W19" s="242"/>
      <c r="X19" s="242"/>
      <c r="Y19" s="242"/>
      <c r="Z19" s="242"/>
      <c r="AA19" s="242">
        <f>SUM(I19)</f>
        <v>6000</v>
      </c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78"/>
      <c r="AU19" s="278"/>
      <c r="AV19" s="278"/>
      <c r="AW19" s="278"/>
      <c r="AX19" s="293"/>
      <c r="AY19" s="304">
        <f t="shared" ref="AY19:AY50" si="4">SUM(U19:AX19)-C19</f>
        <v>0</v>
      </c>
    </row>
    <row r="20" spans="1:51" s="300" customFormat="1" ht="14.25" customHeight="1" x14ac:dyDescent="0.2">
      <c r="A20" s="290">
        <v>2</v>
      </c>
      <c r="B20" s="432" t="s">
        <v>177</v>
      </c>
      <c r="C20" s="433">
        <v>2000</v>
      </c>
      <c r="D20" s="430">
        <f t="shared" si="0"/>
        <v>-2000</v>
      </c>
      <c r="E20" s="28">
        <v>43862</v>
      </c>
      <c r="F20" s="431">
        <f t="shared" si="1"/>
        <v>63555.900000000009</v>
      </c>
      <c r="G20" s="302"/>
      <c r="H20" s="302"/>
      <c r="I20" s="302"/>
      <c r="J20" s="302"/>
      <c r="K20" s="298"/>
      <c r="L20" s="278"/>
      <c r="M20" s="278"/>
      <c r="N20" s="278"/>
      <c r="O20" s="278"/>
      <c r="P20" s="278"/>
      <c r="Q20" s="278"/>
      <c r="R20" s="278"/>
      <c r="S20" s="278"/>
      <c r="T20" s="278"/>
      <c r="U20" s="304"/>
      <c r="V20" s="305">
        <v>250</v>
      </c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78"/>
      <c r="AU20" s="278"/>
      <c r="AV20" s="278"/>
      <c r="AW20" s="278"/>
      <c r="AX20" s="305">
        <v>1750</v>
      </c>
      <c r="AY20" s="304">
        <f t="shared" si="4"/>
        <v>0</v>
      </c>
    </row>
    <row r="21" spans="1:51" s="300" customFormat="1" ht="14.25" customHeight="1" x14ac:dyDescent="0.2">
      <c r="A21" s="290">
        <v>2</v>
      </c>
      <c r="B21" s="432" t="s">
        <v>176</v>
      </c>
      <c r="C21" s="433">
        <v>7500</v>
      </c>
      <c r="D21" s="430">
        <f t="shared" si="0"/>
        <v>-7500</v>
      </c>
      <c r="E21" s="28">
        <v>43862</v>
      </c>
      <c r="F21" s="431">
        <f t="shared" si="1"/>
        <v>56055.900000000009</v>
      </c>
      <c r="G21" s="302"/>
      <c r="H21" s="302">
        <v>5510</v>
      </c>
      <c r="I21" s="303">
        <f>C21</f>
        <v>7500</v>
      </c>
      <c r="J21" s="302"/>
      <c r="K21" s="298"/>
      <c r="L21" s="278"/>
      <c r="M21" s="278"/>
      <c r="N21" s="278"/>
      <c r="O21" s="278"/>
      <c r="P21" s="278"/>
      <c r="Q21" s="278"/>
      <c r="R21" s="278"/>
      <c r="S21" s="278"/>
      <c r="T21" s="278"/>
      <c r="U21" s="304"/>
      <c r="V21" s="305"/>
      <c r="W21" s="242"/>
      <c r="X21" s="242"/>
      <c r="Y21" s="242"/>
      <c r="Z21" s="242"/>
      <c r="AA21" s="242"/>
      <c r="AB21" s="242">
        <f>SUM(I21)</f>
        <v>7500</v>
      </c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78"/>
      <c r="AU21" s="278"/>
      <c r="AV21" s="278"/>
      <c r="AW21" s="278"/>
      <c r="AX21" s="293"/>
      <c r="AY21" s="304">
        <f t="shared" si="4"/>
        <v>0</v>
      </c>
    </row>
    <row r="22" spans="1:51" s="278" customFormat="1" ht="14.25" customHeight="1" x14ac:dyDescent="0.2">
      <c r="A22" s="290">
        <v>2</v>
      </c>
      <c r="B22" s="432" t="s">
        <v>175</v>
      </c>
      <c r="C22" s="433">
        <v>550</v>
      </c>
      <c r="D22" s="430">
        <f t="shared" si="0"/>
        <v>-550</v>
      </c>
      <c r="E22" s="28">
        <v>43862</v>
      </c>
      <c r="F22" s="431">
        <f t="shared" si="1"/>
        <v>55505.900000000009</v>
      </c>
      <c r="G22" s="302"/>
      <c r="H22" s="302">
        <v>7650</v>
      </c>
      <c r="I22" s="303">
        <f>C22</f>
        <v>550</v>
      </c>
      <c r="J22" s="302"/>
      <c r="K22" s="298"/>
      <c r="U22" s="304"/>
      <c r="V22" s="305"/>
      <c r="W22" s="242"/>
      <c r="X22" s="242"/>
      <c r="Y22" s="242"/>
      <c r="Z22" s="242"/>
      <c r="AA22" s="242"/>
      <c r="AB22" s="242"/>
      <c r="AC22" s="242">
        <f>SUM(I22)</f>
        <v>550</v>
      </c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X22" s="293"/>
      <c r="AY22" s="304">
        <f t="shared" si="4"/>
        <v>0</v>
      </c>
    </row>
    <row r="23" spans="1:51" s="278" customFormat="1" ht="14.25" customHeight="1" x14ac:dyDescent="0.2">
      <c r="A23" s="290">
        <v>2</v>
      </c>
      <c r="B23" s="432" t="s">
        <v>174</v>
      </c>
      <c r="C23" s="433">
        <v>1800</v>
      </c>
      <c r="D23" s="430">
        <f t="shared" si="0"/>
        <v>-1800</v>
      </c>
      <c r="E23" s="28" t="s">
        <v>198</v>
      </c>
      <c r="F23" s="431">
        <f t="shared" si="1"/>
        <v>53705.900000000009</v>
      </c>
      <c r="G23" s="302"/>
      <c r="H23" s="302">
        <v>7650</v>
      </c>
      <c r="I23" s="303">
        <f>C23</f>
        <v>1800</v>
      </c>
      <c r="J23" s="302"/>
      <c r="K23" s="298"/>
      <c r="U23" s="304"/>
      <c r="V23" s="305"/>
      <c r="W23" s="242"/>
      <c r="X23" s="242"/>
      <c r="Y23" s="242"/>
      <c r="Z23" s="242"/>
      <c r="AA23" s="242"/>
      <c r="AB23" s="242"/>
      <c r="AC23" s="242">
        <f>SUM(I23)</f>
        <v>1800</v>
      </c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X23" s="293"/>
      <c r="AY23" s="304">
        <f t="shared" si="4"/>
        <v>0</v>
      </c>
    </row>
    <row r="24" spans="1:51" s="278" customFormat="1" ht="14.25" customHeight="1" x14ac:dyDescent="0.2">
      <c r="A24" s="290">
        <v>2</v>
      </c>
      <c r="B24" s="432" t="s">
        <v>172</v>
      </c>
      <c r="C24" s="433">
        <v>9917</v>
      </c>
      <c r="D24" s="430">
        <f t="shared" si="0"/>
        <v>-9917</v>
      </c>
      <c r="E24" s="28">
        <v>43862</v>
      </c>
      <c r="F24" s="431">
        <f t="shared" si="1"/>
        <v>43788.900000000009</v>
      </c>
      <c r="G24" s="302"/>
      <c r="H24" s="302">
        <v>5750</v>
      </c>
      <c r="I24" s="313">
        <v>1584</v>
      </c>
      <c r="J24" s="302">
        <v>5520</v>
      </c>
      <c r="K24" s="298">
        <v>8333</v>
      </c>
      <c r="U24" s="304"/>
      <c r="V24" s="305"/>
      <c r="W24" s="242"/>
      <c r="X24" s="242"/>
      <c r="Y24" s="242"/>
      <c r="Z24" s="242"/>
      <c r="AA24" s="242"/>
      <c r="AB24" s="242"/>
      <c r="AC24" s="242"/>
      <c r="AD24" s="242">
        <f>SUM(I24)</f>
        <v>1584</v>
      </c>
      <c r="AE24" s="242">
        <f>SUM(K24)</f>
        <v>8333</v>
      </c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X24" s="293"/>
      <c r="AY24" s="304">
        <f t="shared" si="4"/>
        <v>0</v>
      </c>
    </row>
    <row r="25" spans="1:51" s="278" customFormat="1" ht="14.25" customHeight="1" x14ac:dyDescent="0.2">
      <c r="A25" s="290">
        <v>2</v>
      </c>
      <c r="B25" s="432" t="s">
        <v>171</v>
      </c>
      <c r="C25" s="433">
        <v>34.950000000000003</v>
      </c>
      <c r="D25" s="430">
        <f t="shared" si="0"/>
        <v>-34.950000000000003</v>
      </c>
      <c r="E25" s="28">
        <v>43862</v>
      </c>
      <c r="F25" s="431">
        <f t="shared" si="1"/>
        <v>43753.950000000012</v>
      </c>
      <c r="G25" s="302"/>
      <c r="H25" s="302">
        <v>7850</v>
      </c>
      <c r="I25" s="303">
        <f>C25</f>
        <v>34.950000000000003</v>
      </c>
      <c r="J25" s="302"/>
      <c r="K25" s="298"/>
      <c r="U25" s="304">
        <f>SUM(I25)</f>
        <v>34.950000000000003</v>
      </c>
      <c r="V25" s="305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X25" s="293"/>
      <c r="AY25" s="304">
        <f t="shared" si="4"/>
        <v>0</v>
      </c>
    </row>
    <row r="26" spans="1:51" s="278" customFormat="1" ht="14.25" customHeight="1" x14ac:dyDescent="0.2">
      <c r="A26" s="290">
        <v>2</v>
      </c>
      <c r="B26" s="432" t="s">
        <v>169</v>
      </c>
      <c r="C26" s="433">
        <v>150</v>
      </c>
      <c r="D26" s="430">
        <f t="shared" si="0"/>
        <v>-150</v>
      </c>
      <c r="E26" s="28" t="s">
        <v>197</v>
      </c>
      <c r="F26" s="431">
        <f t="shared" si="1"/>
        <v>43603.950000000012</v>
      </c>
      <c r="G26" s="302"/>
      <c r="H26" s="302">
        <v>7090</v>
      </c>
      <c r="I26" s="303">
        <f>C26</f>
        <v>150</v>
      </c>
      <c r="J26" s="302"/>
      <c r="K26" s="298"/>
      <c r="U26" s="304"/>
      <c r="V26" s="305"/>
      <c r="W26" s="242"/>
      <c r="X26" s="242"/>
      <c r="Y26" s="242"/>
      <c r="Z26" s="242"/>
      <c r="AA26" s="242"/>
      <c r="AB26" s="242"/>
      <c r="AC26" s="242"/>
      <c r="AD26" s="242"/>
      <c r="AE26" s="242"/>
      <c r="AF26" s="242">
        <f>SUM(I26)</f>
        <v>150</v>
      </c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X26" s="293"/>
      <c r="AY26" s="304">
        <f t="shared" si="4"/>
        <v>0</v>
      </c>
    </row>
    <row r="27" spans="1:51" s="278" customFormat="1" ht="14.25" customHeight="1" x14ac:dyDescent="0.2">
      <c r="A27" s="290">
        <v>2</v>
      </c>
      <c r="B27" s="432" t="s">
        <v>155</v>
      </c>
      <c r="C27" s="433">
        <v>18100</v>
      </c>
      <c r="D27" s="430">
        <f t="shared" si="0"/>
        <v>-18100</v>
      </c>
      <c r="E27" s="28">
        <v>43866</v>
      </c>
      <c r="F27" s="431">
        <f t="shared" si="1"/>
        <v>25503.950000000012</v>
      </c>
      <c r="G27" s="302"/>
      <c r="H27" s="302">
        <v>8570</v>
      </c>
      <c r="I27" s="313">
        <v>1375</v>
      </c>
      <c r="J27" s="302" t="s">
        <v>207</v>
      </c>
      <c r="K27" s="298" t="s">
        <v>207</v>
      </c>
      <c r="L27" s="278">
        <v>8510</v>
      </c>
      <c r="M27" s="298">
        <v>13600</v>
      </c>
      <c r="N27" s="314">
        <v>8250</v>
      </c>
      <c r="O27" s="298">
        <v>1000</v>
      </c>
      <c r="P27" s="314">
        <v>8530</v>
      </c>
      <c r="Q27" s="315">
        <v>2000</v>
      </c>
      <c r="R27" s="314">
        <v>8590</v>
      </c>
      <c r="S27" s="298">
        <v>125</v>
      </c>
      <c r="T27" s="316">
        <f>SUM(I27+M27+O27+Q27+S27)</f>
        <v>18100</v>
      </c>
      <c r="U27" s="304"/>
      <c r="V27" s="305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>
        <f>SUM(I27)</f>
        <v>1375</v>
      </c>
      <c r="AH27" s="242">
        <f>SUM(M27)</f>
        <v>13600</v>
      </c>
      <c r="AI27" s="242">
        <f>SUM(O27)</f>
        <v>1000</v>
      </c>
      <c r="AJ27" s="242">
        <f>SUM(Q27)</f>
        <v>2000</v>
      </c>
      <c r="AK27" s="242">
        <f>SUM(S27)</f>
        <v>125</v>
      </c>
      <c r="AL27" s="242"/>
      <c r="AM27" s="242"/>
      <c r="AN27" s="242"/>
      <c r="AO27" s="242"/>
      <c r="AP27" s="242"/>
      <c r="AQ27" s="242"/>
      <c r="AR27" s="242"/>
      <c r="AS27" s="242"/>
      <c r="AX27" s="293"/>
      <c r="AY27" s="304">
        <f t="shared" si="4"/>
        <v>0</v>
      </c>
    </row>
    <row r="28" spans="1:51" s="278" customFormat="1" ht="14.25" customHeight="1" x14ac:dyDescent="0.2">
      <c r="A28" s="290">
        <v>2</v>
      </c>
      <c r="B28" s="432" t="s">
        <v>153</v>
      </c>
      <c r="C28" s="433">
        <v>100</v>
      </c>
      <c r="D28" s="430">
        <f t="shared" si="0"/>
        <v>-100</v>
      </c>
      <c r="E28" s="28">
        <v>43869</v>
      </c>
      <c r="F28" s="431">
        <f t="shared" si="1"/>
        <v>25403.950000000012</v>
      </c>
      <c r="G28" s="302"/>
      <c r="H28" s="302">
        <v>7850</v>
      </c>
      <c r="I28" s="303">
        <f>C28</f>
        <v>100</v>
      </c>
      <c r="J28" s="302"/>
      <c r="K28" s="298"/>
      <c r="U28" s="304">
        <f>SUM(I28)</f>
        <v>100</v>
      </c>
      <c r="V28" s="305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X28" s="293"/>
      <c r="AY28" s="304">
        <f t="shared" si="4"/>
        <v>0</v>
      </c>
    </row>
    <row r="29" spans="1:51" s="278" customFormat="1" ht="14.25" customHeight="1" x14ac:dyDescent="0.2">
      <c r="A29" s="290">
        <v>2</v>
      </c>
      <c r="B29" s="432" t="s">
        <v>279</v>
      </c>
      <c r="C29" s="433">
        <f>SUM('TS 2019_2020 Est Travel'!G16+'TS 2019_2020 Est Travel'!G20+'TS 2019_2020 Est Travel'!G23)</f>
        <v>2939.25</v>
      </c>
      <c r="D29" s="430">
        <f t="shared" si="0"/>
        <v>-2939.25</v>
      </c>
      <c r="E29" s="28" t="s">
        <v>292</v>
      </c>
      <c r="F29" s="431">
        <f t="shared" si="1"/>
        <v>22464.700000000012</v>
      </c>
      <c r="G29" s="302"/>
      <c r="H29" s="302"/>
      <c r="I29" s="303"/>
      <c r="J29" s="302"/>
      <c r="K29" s="298"/>
      <c r="U29" s="304"/>
      <c r="V29" s="305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U29" s="242">
        <f>SUM(C29)</f>
        <v>2939.25</v>
      </c>
      <c r="AV29" s="242"/>
      <c r="AW29" s="242"/>
      <c r="AX29" s="293"/>
      <c r="AY29" s="304">
        <f t="shared" si="4"/>
        <v>0</v>
      </c>
    </row>
    <row r="30" spans="1:51" s="278" customFormat="1" ht="14.25" customHeight="1" x14ac:dyDescent="0.2">
      <c r="A30" s="290">
        <v>2</v>
      </c>
      <c r="B30" s="432" t="s">
        <v>196</v>
      </c>
      <c r="C30" s="433">
        <v>1500</v>
      </c>
      <c r="D30" s="430">
        <f t="shared" si="0"/>
        <v>-1500</v>
      </c>
      <c r="E30" s="28" t="s">
        <v>195</v>
      </c>
      <c r="F30" s="431">
        <f t="shared" si="1"/>
        <v>20964.700000000012</v>
      </c>
      <c r="G30" s="302"/>
      <c r="H30" s="302">
        <v>5170</v>
      </c>
      <c r="I30" s="306">
        <f>SUM(C30)</f>
        <v>1500</v>
      </c>
      <c r="J30" s="302"/>
      <c r="K30" s="298"/>
      <c r="U30" s="304"/>
      <c r="V30" s="305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>
        <f>SUM(I30)</f>
        <v>1500</v>
      </c>
      <c r="AM30" s="242"/>
      <c r="AN30" s="242"/>
      <c r="AO30" s="242"/>
      <c r="AP30" s="242"/>
      <c r="AQ30" s="242"/>
      <c r="AR30" s="242"/>
      <c r="AS30" s="242"/>
      <c r="AX30" s="293"/>
      <c r="AY30" s="304">
        <f t="shared" si="4"/>
        <v>0</v>
      </c>
    </row>
    <row r="31" spans="1:51" s="278" customFormat="1" ht="14.25" customHeight="1" x14ac:dyDescent="0.2">
      <c r="A31" s="317">
        <v>2</v>
      </c>
      <c r="B31" s="148" t="s">
        <v>262</v>
      </c>
      <c r="C31" s="148"/>
      <c r="D31" s="434">
        <v>85000</v>
      </c>
      <c r="E31" s="146" t="s">
        <v>194</v>
      </c>
      <c r="F31" s="435">
        <f t="shared" si="1"/>
        <v>105964.70000000001</v>
      </c>
      <c r="G31" s="318"/>
      <c r="H31" s="302" t="s">
        <v>207</v>
      </c>
      <c r="I31" s="302" t="s">
        <v>207</v>
      </c>
      <c r="J31" s="302"/>
      <c r="K31" s="298"/>
      <c r="U31" s="304"/>
      <c r="V31" s="305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X31" s="293"/>
      <c r="AY31" s="304">
        <f t="shared" si="4"/>
        <v>0</v>
      </c>
    </row>
    <row r="32" spans="1:51" s="278" customFormat="1" ht="14.25" customHeight="1" x14ac:dyDescent="0.2">
      <c r="A32" s="290">
        <v>2</v>
      </c>
      <c r="B32" s="432" t="s">
        <v>162</v>
      </c>
      <c r="C32" s="433">
        <v>60</v>
      </c>
      <c r="D32" s="430">
        <f t="shared" ref="D32:D62" si="5">SUM(C32*-1)</f>
        <v>-60</v>
      </c>
      <c r="E32" s="28">
        <v>43876</v>
      </c>
      <c r="F32" s="431">
        <f t="shared" si="1"/>
        <v>105904.70000000001</v>
      </c>
      <c r="G32" s="302"/>
      <c r="H32" s="302">
        <v>7850</v>
      </c>
      <c r="I32" s="303">
        <f>C32</f>
        <v>60</v>
      </c>
      <c r="J32" s="302"/>
      <c r="K32" s="298"/>
      <c r="U32" s="304">
        <f>SUM(I32)</f>
        <v>60</v>
      </c>
      <c r="V32" s="305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X32" s="293"/>
      <c r="AY32" s="304">
        <f t="shared" si="4"/>
        <v>0</v>
      </c>
    </row>
    <row r="33" spans="1:51" s="278" customFormat="1" ht="14.25" customHeight="1" x14ac:dyDescent="0.2">
      <c r="A33" s="290">
        <v>2</v>
      </c>
      <c r="B33" s="432" t="s">
        <v>165</v>
      </c>
      <c r="C33" s="433">
        <v>200</v>
      </c>
      <c r="D33" s="430">
        <f t="shared" si="5"/>
        <v>-200</v>
      </c>
      <c r="E33" s="28">
        <v>43876</v>
      </c>
      <c r="F33" s="431">
        <f t="shared" si="1"/>
        <v>105704.70000000001</v>
      </c>
      <c r="G33" s="302"/>
      <c r="H33" s="302">
        <v>6770</v>
      </c>
      <c r="I33" s="303">
        <f>C33</f>
        <v>200</v>
      </c>
      <c r="J33" s="302"/>
      <c r="K33" s="298"/>
      <c r="U33" s="304"/>
      <c r="V33" s="305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>
        <f>SUM(I33)</f>
        <v>200</v>
      </c>
      <c r="AN33" s="242"/>
      <c r="AO33" s="242"/>
      <c r="AP33" s="242"/>
      <c r="AQ33" s="242"/>
      <c r="AR33" s="242"/>
      <c r="AS33" s="242"/>
      <c r="AX33" s="293"/>
      <c r="AY33" s="304">
        <f t="shared" si="4"/>
        <v>0</v>
      </c>
    </row>
    <row r="34" spans="1:51" s="278" customFormat="1" ht="14.25" customHeight="1" x14ac:dyDescent="0.2">
      <c r="A34" s="290">
        <v>2</v>
      </c>
      <c r="B34" s="40" t="s">
        <v>164</v>
      </c>
      <c r="C34" s="433">
        <v>625</v>
      </c>
      <c r="D34" s="430">
        <f t="shared" si="5"/>
        <v>-625</v>
      </c>
      <c r="E34" s="28" t="s">
        <v>193</v>
      </c>
      <c r="F34" s="431">
        <f t="shared" si="1"/>
        <v>105079.70000000001</v>
      </c>
      <c r="G34" s="302"/>
      <c r="H34" s="302">
        <v>5540</v>
      </c>
      <c r="I34" s="303">
        <f>C34</f>
        <v>625</v>
      </c>
      <c r="J34" s="302"/>
      <c r="K34" s="298"/>
      <c r="U34" s="304"/>
      <c r="V34" s="305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>
        <f>SUM(I34)</f>
        <v>625</v>
      </c>
      <c r="AO34" s="242"/>
      <c r="AP34" s="242"/>
      <c r="AQ34" s="242"/>
      <c r="AR34" s="242"/>
      <c r="AS34" s="242"/>
      <c r="AX34" s="293"/>
      <c r="AY34" s="304">
        <f t="shared" si="4"/>
        <v>0</v>
      </c>
    </row>
    <row r="35" spans="1:51" s="278" customFormat="1" ht="14.25" customHeight="1" x14ac:dyDescent="0.2">
      <c r="A35" s="290">
        <v>2</v>
      </c>
      <c r="B35" s="432" t="s">
        <v>279</v>
      </c>
      <c r="C35" s="433">
        <f>SUM('TS 2019_2020 Est Travel'!G18+'TS 2019_2020 Est Travel'!G26+'TS 2019_2020 Est Travel'!G29+'TS 2019_2020 Est Travel'!G33)</f>
        <v>2804.6800000000003</v>
      </c>
      <c r="D35" s="430">
        <f t="shared" si="5"/>
        <v>-2804.6800000000003</v>
      </c>
      <c r="E35" s="28" t="s">
        <v>293</v>
      </c>
      <c r="F35" s="431">
        <f t="shared" si="1"/>
        <v>102275.02000000002</v>
      </c>
      <c r="G35" s="302"/>
      <c r="H35" s="302"/>
      <c r="I35" s="303"/>
      <c r="J35" s="302"/>
      <c r="K35" s="298"/>
      <c r="U35" s="304"/>
      <c r="V35" s="305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>
        <f>SUM(C35)</f>
        <v>2804.6800000000003</v>
      </c>
      <c r="AX35" s="293"/>
      <c r="AY35" s="304">
        <f t="shared" si="4"/>
        <v>0</v>
      </c>
    </row>
    <row r="36" spans="1:51" s="278" customFormat="1" ht="14.25" customHeight="1" x14ac:dyDescent="0.2">
      <c r="A36" s="290">
        <v>2</v>
      </c>
      <c r="B36" s="40" t="s">
        <v>160</v>
      </c>
      <c r="C36" s="433">
        <v>1833.35</v>
      </c>
      <c r="D36" s="430">
        <f t="shared" si="5"/>
        <v>-1833.35</v>
      </c>
      <c r="E36" s="28">
        <v>43877</v>
      </c>
      <c r="F36" s="431">
        <f t="shared" si="1"/>
        <v>100441.67000000001</v>
      </c>
      <c r="G36" s="302"/>
      <c r="H36" s="302">
        <v>6590</v>
      </c>
      <c r="I36" s="303">
        <f>C36</f>
        <v>1833.35</v>
      </c>
      <c r="J36" s="302"/>
      <c r="K36" s="298"/>
      <c r="U36" s="304"/>
      <c r="V36" s="305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P36" s="242">
        <f>SUM(I36)</f>
        <v>1833.35</v>
      </c>
      <c r="AQ36" s="242"/>
      <c r="AR36" s="242"/>
      <c r="AS36" s="242"/>
      <c r="AX36" s="293"/>
      <c r="AY36" s="304">
        <f t="shared" si="4"/>
        <v>0</v>
      </c>
    </row>
    <row r="37" spans="1:51" s="278" customFormat="1" ht="14.25" customHeight="1" x14ac:dyDescent="0.2">
      <c r="A37" s="290">
        <v>2</v>
      </c>
      <c r="B37" s="432" t="s">
        <v>155</v>
      </c>
      <c r="C37" s="433">
        <f>SUM(C27)</f>
        <v>18100</v>
      </c>
      <c r="D37" s="430">
        <f t="shared" si="5"/>
        <v>-18100</v>
      </c>
      <c r="E37" s="28">
        <v>43881</v>
      </c>
      <c r="F37" s="431">
        <f t="shared" si="1"/>
        <v>82341.670000000013</v>
      </c>
      <c r="G37" s="302"/>
      <c r="H37" s="302">
        <v>8570</v>
      </c>
      <c r="I37" s="313">
        <v>1375</v>
      </c>
      <c r="J37" s="302" t="s">
        <v>207</v>
      </c>
      <c r="K37" s="298" t="s">
        <v>207</v>
      </c>
      <c r="L37" s="278">
        <v>8510</v>
      </c>
      <c r="M37" s="298">
        <v>13600</v>
      </c>
      <c r="N37" s="314">
        <v>8250</v>
      </c>
      <c r="O37" s="298">
        <v>1000</v>
      </c>
      <c r="P37" s="314">
        <v>8530</v>
      </c>
      <c r="Q37" s="315">
        <v>2000</v>
      </c>
      <c r="R37" s="314">
        <v>8590</v>
      </c>
      <c r="S37" s="298">
        <v>125</v>
      </c>
      <c r="T37" s="316">
        <f>SUM(I37+M37+O37+Q37+S37)</f>
        <v>18100</v>
      </c>
      <c r="U37" s="304"/>
      <c r="V37" s="305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>
        <f>SUM(I37)</f>
        <v>1375</v>
      </c>
      <c r="AH37" s="242">
        <f>SUM(M37)</f>
        <v>13600</v>
      </c>
      <c r="AI37" s="242">
        <f>SUM(O37)</f>
        <v>1000</v>
      </c>
      <c r="AJ37" s="242">
        <f>SUM(Q37)</f>
        <v>2000</v>
      </c>
      <c r="AK37" s="242">
        <f>SUM(S37)</f>
        <v>125</v>
      </c>
      <c r="AL37" s="242"/>
      <c r="AM37" s="242"/>
      <c r="AN37" s="242"/>
      <c r="AO37" s="242"/>
      <c r="AP37" s="242"/>
      <c r="AQ37" s="242"/>
      <c r="AR37" s="242"/>
      <c r="AS37" s="242"/>
      <c r="AX37" s="293"/>
      <c r="AY37" s="304">
        <f t="shared" si="4"/>
        <v>0</v>
      </c>
    </row>
    <row r="38" spans="1:51" s="278" customFormat="1" ht="14.25" customHeight="1" x14ac:dyDescent="0.2">
      <c r="A38" s="290">
        <v>2</v>
      </c>
      <c r="B38" s="432" t="s">
        <v>153</v>
      </c>
      <c r="C38" s="433">
        <v>100</v>
      </c>
      <c r="D38" s="430">
        <f t="shared" si="5"/>
        <v>-100</v>
      </c>
      <c r="E38" s="28">
        <v>43883</v>
      </c>
      <c r="F38" s="431">
        <f t="shared" si="1"/>
        <v>82241.670000000013</v>
      </c>
      <c r="G38" s="302"/>
      <c r="H38" s="302">
        <v>7850</v>
      </c>
      <c r="I38" s="303">
        <f>C38</f>
        <v>100</v>
      </c>
      <c r="J38" s="302"/>
      <c r="K38" s="298"/>
      <c r="U38" s="304">
        <f>SUM(I38)</f>
        <v>100</v>
      </c>
      <c r="V38" s="305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X38" s="293"/>
      <c r="AY38" s="304">
        <f t="shared" si="4"/>
        <v>0</v>
      </c>
    </row>
    <row r="39" spans="1:51" s="278" customFormat="1" ht="14.25" customHeight="1" x14ac:dyDescent="0.2">
      <c r="A39" s="290">
        <v>2</v>
      </c>
      <c r="B39" s="40" t="s">
        <v>266</v>
      </c>
      <c r="C39" s="433">
        <f>SUM('CCD - Mnthly Bills'!C20)</f>
        <v>1523.3625000000002</v>
      </c>
      <c r="D39" s="430">
        <f t="shared" si="5"/>
        <v>-1523.3625000000002</v>
      </c>
      <c r="E39" s="28" t="s">
        <v>265</v>
      </c>
      <c r="F39" s="431">
        <f t="shared" si="1"/>
        <v>80718.30750000001</v>
      </c>
      <c r="G39" s="302"/>
      <c r="H39" s="589" t="s">
        <v>264</v>
      </c>
      <c r="I39" s="589"/>
      <c r="J39" s="302"/>
      <c r="K39" s="298"/>
      <c r="U39" s="304"/>
      <c r="V39" s="305"/>
      <c r="W39" s="242">
        <f>SUM('CCD - Mnthly Bills'!H20)</f>
        <v>104.73750000000001</v>
      </c>
      <c r="X39" s="242"/>
      <c r="Y39" s="242">
        <f>SUM('CCD - Mnthly Bills'!F20)</f>
        <v>778.6875</v>
      </c>
      <c r="Z39" s="242"/>
      <c r="AA39" s="242">
        <f>SUM('CCD - Mnthly Bills'!K20)</f>
        <v>375</v>
      </c>
      <c r="AB39" s="242"/>
      <c r="AC39" s="242"/>
      <c r="AD39" s="242">
        <f>SUM('CCD - Mnthly Bills'!J20)</f>
        <v>90</v>
      </c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>
        <f>SUM('CCD - Mnthly Bills'!G20)</f>
        <v>111.1875</v>
      </c>
      <c r="AR39" s="242">
        <f>SUM('CCD - Mnthly Bills'!I20)</f>
        <v>63.75</v>
      </c>
      <c r="AS39" s="242"/>
      <c r="AX39" s="293"/>
      <c r="AY39" s="304">
        <f t="shared" si="4"/>
        <v>0</v>
      </c>
    </row>
    <row r="40" spans="1:51" s="278" customFormat="1" ht="14.25" customHeight="1" x14ac:dyDescent="0.2">
      <c r="A40" s="290">
        <v>2</v>
      </c>
      <c r="B40" s="40" t="s">
        <v>288</v>
      </c>
      <c r="C40" s="433">
        <v>17000</v>
      </c>
      <c r="D40" s="430">
        <f>SUM(C40*-1)</f>
        <v>-17000</v>
      </c>
      <c r="E40" s="28" t="s">
        <v>289</v>
      </c>
      <c r="F40" s="431">
        <f t="shared" si="1"/>
        <v>63718.30750000001</v>
      </c>
      <c r="G40" s="302"/>
      <c r="H40" s="319"/>
      <c r="I40" s="319"/>
      <c r="J40" s="302"/>
      <c r="K40" s="298"/>
      <c r="U40" s="304"/>
      <c r="V40" s="305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>
        <v>16500</v>
      </c>
      <c r="AU40" s="298">
        <v>500</v>
      </c>
      <c r="AV40" s="298"/>
      <c r="AW40" s="298"/>
      <c r="AX40" s="293"/>
      <c r="AY40" s="304">
        <f t="shared" si="4"/>
        <v>0</v>
      </c>
    </row>
    <row r="41" spans="1:51" s="300" customFormat="1" ht="14.25" customHeight="1" x14ac:dyDescent="0.2">
      <c r="A41" s="290">
        <v>2</v>
      </c>
      <c r="B41" s="432" t="s">
        <v>150</v>
      </c>
      <c r="C41" s="433">
        <v>458.65</v>
      </c>
      <c r="D41" s="430">
        <f t="shared" si="5"/>
        <v>-458.65</v>
      </c>
      <c r="E41" s="28" t="s">
        <v>192</v>
      </c>
      <c r="F41" s="431">
        <f t="shared" si="1"/>
        <v>63259.657500000008</v>
      </c>
      <c r="G41" s="302"/>
      <c r="H41" s="302">
        <v>7910</v>
      </c>
      <c r="I41" s="303">
        <f t="shared" ref="I41:I50" si="6">C41</f>
        <v>458.65</v>
      </c>
      <c r="J41" s="302"/>
      <c r="K41" s="298"/>
      <c r="L41" s="278"/>
      <c r="M41" s="278"/>
      <c r="N41" s="278"/>
      <c r="O41" s="278"/>
      <c r="P41" s="278"/>
      <c r="Q41" s="278"/>
      <c r="R41" s="278"/>
      <c r="S41" s="278"/>
      <c r="T41" s="278"/>
      <c r="U41" s="304"/>
      <c r="V41" s="305">
        <f>SUM(I41)</f>
        <v>458.65</v>
      </c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78"/>
      <c r="AU41" s="278"/>
      <c r="AV41" s="278"/>
      <c r="AW41" s="278"/>
      <c r="AX41" s="293"/>
      <c r="AY41" s="304">
        <f t="shared" si="4"/>
        <v>0</v>
      </c>
    </row>
    <row r="42" spans="1:51" s="300" customFormat="1" ht="14.25" customHeight="1" x14ac:dyDescent="0.2">
      <c r="A42" s="290">
        <v>2</v>
      </c>
      <c r="B42" s="432" t="s">
        <v>191</v>
      </c>
      <c r="C42" s="433">
        <v>44.94</v>
      </c>
      <c r="D42" s="430">
        <f t="shared" si="5"/>
        <v>-44.94</v>
      </c>
      <c r="E42" s="28" t="s">
        <v>190</v>
      </c>
      <c r="F42" s="431">
        <f t="shared" si="1"/>
        <v>63214.717500000006</v>
      </c>
      <c r="G42" s="302"/>
      <c r="H42" s="302">
        <v>7950</v>
      </c>
      <c r="I42" s="303">
        <f t="shared" si="6"/>
        <v>44.94</v>
      </c>
      <c r="J42" s="302"/>
      <c r="K42" s="298"/>
      <c r="L42" s="278"/>
      <c r="M42" s="278"/>
      <c r="N42" s="278"/>
      <c r="O42" s="278"/>
      <c r="P42" s="278"/>
      <c r="Q42" s="278"/>
      <c r="R42" s="278"/>
      <c r="S42" s="278"/>
      <c r="T42" s="278"/>
      <c r="U42" s="304"/>
      <c r="V42" s="305"/>
      <c r="W42" s="242">
        <f>SUM(I42)</f>
        <v>44.94</v>
      </c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78"/>
      <c r="AU42" s="278"/>
      <c r="AV42" s="278"/>
      <c r="AW42" s="278"/>
      <c r="AX42" s="293"/>
      <c r="AY42" s="304">
        <f t="shared" si="4"/>
        <v>0</v>
      </c>
    </row>
    <row r="43" spans="1:51" s="300" customFormat="1" ht="14.25" customHeight="1" x14ac:dyDescent="0.2">
      <c r="A43" s="290">
        <v>2</v>
      </c>
      <c r="B43" s="432" t="s">
        <v>148</v>
      </c>
      <c r="C43" s="433">
        <v>386.23</v>
      </c>
      <c r="D43" s="430">
        <f t="shared" si="5"/>
        <v>-386.23</v>
      </c>
      <c r="E43" s="28" t="s">
        <v>189</v>
      </c>
      <c r="F43" s="431">
        <f t="shared" si="1"/>
        <v>62828.487500000003</v>
      </c>
      <c r="G43" s="302"/>
      <c r="H43" s="302">
        <v>7950</v>
      </c>
      <c r="I43" s="303">
        <f t="shared" si="6"/>
        <v>386.23</v>
      </c>
      <c r="J43" s="302"/>
      <c r="K43" s="298"/>
      <c r="L43" s="278"/>
      <c r="M43" s="278"/>
      <c r="N43" s="278"/>
      <c r="O43" s="278"/>
      <c r="P43" s="278"/>
      <c r="Q43" s="278"/>
      <c r="R43" s="278"/>
      <c r="S43" s="278"/>
      <c r="T43" s="278"/>
      <c r="U43" s="304"/>
      <c r="V43" s="305"/>
      <c r="W43" s="242">
        <f>SUM(I43)</f>
        <v>386.23</v>
      </c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78"/>
      <c r="AU43" s="278"/>
      <c r="AV43" s="278"/>
      <c r="AW43" s="278"/>
      <c r="AX43" s="293"/>
      <c r="AY43" s="304">
        <f t="shared" si="4"/>
        <v>0</v>
      </c>
    </row>
    <row r="44" spans="1:51" s="300" customFormat="1" ht="14.25" customHeight="1" x14ac:dyDescent="0.2">
      <c r="A44" s="290">
        <v>2</v>
      </c>
      <c r="B44" s="432" t="s">
        <v>146</v>
      </c>
      <c r="C44" s="433">
        <v>149.99</v>
      </c>
      <c r="D44" s="430">
        <f t="shared" si="5"/>
        <v>-149.99</v>
      </c>
      <c r="E44" s="28">
        <v>43889</v>
      </c>
      <c r="F44" s="431">
        <f t="shared" si="1"/>
        <v>62678.497500000005</v>
      </c>
      <c r="G44" s="302"/>
      <c r="H44" s="302">
        <v>7950</v>
      </c>
      <c r="I44" s="303">
        <f t="shared" si="6"/>
        <v>149.99</v>
      </c>
      <c r="J44" s="302"/>
      <c r="K44" s="298"/>
      <c r="L44" s="278"/>
      <c r="M44" s="278"/>
      <c r="N44" s="278"/>
      <c r="O44" s="278"/>
      <c r="P44" s="278"/>
      <c r="Q44" s="278"/>
      <c r="R44" s="278"/>
      <c r="S44" s="278"/>
      <c r="T44" s="278"/>
      <c r="U44" s="304"/>
      <c r="V44" s="305"/>
      <c r="W44" s="242">
        <f>SUM(I44)</f>
        <v>149.99</v>
      </c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78"/>
      <c r="AU44" s="278"/>
      <c r="AV44" s="278"/>
      <c r="AW44" s="278"/>
      <c r="AX44" s="293"/>
      <c r="AY44" s="304">
        <f t="shared" si="4"/>
        <v>0</v>
      </c>
    </row>
    <row r="45" spans="1:51" s="300" customFormat="1" ht="14.25" customHeight="1" x14ac:dyDescent="0.2">
      <c r="A45" s="290">
        <v>2</v>
      </c>
      <c r="B45" s="432" t="s">
        <v>139</v>
      </c>
      <c r="C45" s="433">
        <v>750</v>
      </c>
      <c r="D45" s="430">
        <f t="shared" si="5"/>
        <v>-750</v>
      </c>
      <c r="E45" s="28" t="s">
        <v>188</v>
      </c>
      <c r="F45" s="431">
        <f t="shared" si="1"/>
        <v>61928.497500000005</v>
      </c>
      <c r="G45" s="302"/>
      <c r="H45" s="302">
        <v>7950</v>
      </c>
      <c r="I45" s="303">
        <f t="shared" si="6"/>
        <v>750</v>
      </c>
      <c r="J45" s="302"/>
      <c r="K45" s="298"/>
      <c r="L45" s="278"/>
      <c r="M45" s="278"/>
      <c r="N45" s="278"/>
      <c r="O45" s="278"/>
      <c r="P45" s="278"/>
      <c r="Q45" s="278"/>
      <c r="R45" s="278"/>
      <c r="S45" s="278"/>
      <c r="T45" s="278"/>
      <c r="U45" s="304"/>
      <c r="V45" s="305"/>
      <c r="W45" s="278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78"/>
      <c r="AU45" s="278"/>
      <c r="AV45" s="278"/>
      <c r="AW45" s="242">
        <f>SUM(I45)</f>
        <v>750</v>
      </c>
      <c r="AX45" s="293"/>
      <c r="AY45" s="304">
        <f t="shared" si="4"/>
        <v>0</v>
      </c>
    </row>
    <row r="46" spans="1:51" s="300" customFormat="1" ht="14.25" customHeight="1" x14ac:dyDescent="0.2">
      <c r="A46" s="290">
        <v>2</v>
      </c>
      <c r="B46" s="432" t="s">
        <v>142</v>
      </c>
      <c r="C46" s="433">
        <v>2500</v>
      </c>
      <c r="D46" s="430">
        <f t="shared" si="5"/>
        <v>-2500</v>
      </c>
      <c r="E46" s="28">
        <v>43890</v>
      </c>
      <c r="F46" s="431">
        <f t="shared" si="1"/>
        <v>59428.497500000005</v>
      </c>
      <c r="G46" s="302"/>
      <c r="H46" s="302">
        <v>7950</v>
      </c>
      <c r="I46" s="303">
        <f t="shared" si="6"/>
        <v>2500</v>
      </c>
      <c r="J46" s="302"/>
      <c r="K46" s="298"/>
      <c r="L46" s="278"/>
      <c r="M46" s="278"/>
      <c r="N46" s="278"/>
      <c r="O46" s="278"/>
      <c r="P46" s="278"/>
      <c r="Q46" s="278"/>
      <c r="R46" s="278"/>
      <c r="S46" s="278"/>
      <c r="T46" s="278"/>
      <c r="U46" s="304"/>
      <c r="V46" s="305"/>
      <c r="W46" s="278"/>
      <c r="X46" s="242"/>
      <c r="Y46" s="242"/>
      <c r="Z46" s="242">
        <f>SUM(I46)</f>
        <v>2500</v>
      </c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78"/>
      <c r="AU46" s="278"/>
      <c r="AV46" s="278"/>
      <c r="AW46" s="278"/>
      <c r="AX46" s="293"/>
      <c r="AY46" s="304">
        <f t="shared" si="4"/>
        <v>0</v>
      </c>
    </row>
    <row r="47" spans="1:51" s="300" customFormat="1" ht="14.25" customHeight="1" x14ac:dyDescent="0.2">
      <c r="A47" s="290">
        <v>2</v>
      </c>
      <c r="B47" s="432" t="s">
        <v>141</v>
      </c>
      <c r="C47" s="433">
        <v>1080</v>
      </c>
      <c r="D47" s="430">
        <f t="shared" si="5"/>
        <v>-1080</v>
      </c>
      <c r="E47" s="28">
        <v>43890</v>
      </c>
      <c r="F47" s="431">
        <f t="shared" si="1"/>
        <v>58348.497500000005</v>
      </c>
      <c r="G47" s="302"/>
      <c r="H47" s="302">
        <v>5710</v>
      </c>
      <c r="I47" s="303">
        <f t="shared" si="6"/>
        <v>1080</v>
      </c>
      <c r="J47" s="302"/>
      <c r="K47" s="298"/>
      <c r="L47" s="278"/>
      <c r="M47" s="278"/>
      <c r="N47" s="278"/>
      <c r="O47" s="278"/>
      <c r="P47" s="278"/>
      <c r="Q47" s="278"/>
      <c r="R47" s="278"/>
      <c r="S47" s="278"/>
      <c r="T47" s="278"/>
      <c r="U47" s="304"/>
      <c r="V47" s="305"/>
      <c r="W47" s="242"/>
      <c r="X47" s="242">
        <f>SUM(I47)</f>
        <v>1080</v>
      </c>
      <c r="Y47" s="242"/>
      <c r="Z47" s="278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78"/>
      <c r="AU47" s="278"/>
      <c r="AV47" s="278"/>
      <c r="AW47" s="278"/>
      <c r="AX47" s="293"/>
      <c r="AY47" s="304">
        <f t="shared" si="4"/>
        <v>0</v>
      </c>
    </row>
    <row r="48" spans="1:51" s="300" customFormat="1" ht="14.25" customHeight="1" x14ac:dyDescent="0.2">
      <c r="A48" s="290">
        <v>2</v>
      </c>
      <c r="B48" s="432" t="s">
        <v>144</v>
      </c>
      <c r="C48" s="433">
        <v>300</v>
      </c>
      <c r="D48" s="430">
        <f t="shared" si="5"/>
        <v>-300</v>
      </c>
      <c r="E48" s="28" t="s">
        <v>188</v>
      </c>
      <c r="F48" s="431">
        <f t="shared" si="1"/>
        <v>58048.497500000005</v>
      </c>
      <c r="G48" s="302"/>
      <c r="H48" s="302">
        <v>6730</v>
      </c>
      <c r="I48" s="303">
        <f t="shared" si="6"/>
        <v>300</v>
      </c>
      <c r="J48" s="302"/>
      <c r="K48" s="298"/>
      <c r="L48" s="278"/>
      <c r="M48" s="278"/>
      <c r="N48" s="278"/>
      <c r="O48" s="278"/>
      <c r="P48" s="278"/>
      <c r="Q48" s="278"/>
      <c r="R48" s="278"/>
      <c r="S48" s="278"/>
      <c r="T48" s="278"/>
      <c r="U48" s="304"/>
      <c r="V48" s="305"/>
      <c r="W48" s="242">
        <f>SUM(I48)</f>
        <v>300</v>
      </c>
      <c r="X48" s="278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78"/>
      <c r="AU48" s="278"/>
      <c r="AV48" s="278"/>
      <c r="AW48" s="278"/>
      <c r="AX48" s="293"/>
      <c r="AY48" s="304">
        <f t="shared" si="4"/>
        <v>0</v>
      </c>
    </row>
    <row r="49" spans="1:51" s="300" customFormat="1" ht="14.25" customHeight="1" x14ac:dyDescent="0.2">
      <c r="A49" s="290">
        <v>2</v>
      </c>
      <c r="B49" s="40" t="s">
        <v>143</v>
      </c>
      <c r="C49" s="433">
        <v>75</v>
      </c>
      <c r="D49" s="430">
        <f t="shared" si="5"/>
        <v>-75</v>
      </c>
      <c r="E49" s="28" t="s">
        <v>188</v>
      </c>
      <c r="F49" s="431">
        <f t="shared" si="1"/>
        <v>57973.497500000005</v>
      </c>
      <c r="G49" s="302"/>
      <c r="H49" s="302">
        <v>7010</v>
      </c>
      <c r="I49" s="303">
        <f t="shared" si="6"/>
        <v>75</v>
      </c>
      <c r="J49" s="302"/>
      <c r="K49" s="298"/>
      <c r="L49" s="278"/>
      <c r="M49" s="278"/>
      <c r="N49" s="278"/>
      <c r="O49" s="278"/>
      <c r="P49" s="278"/>
      <c r="Q49" s="278"/>
      <c r="R49" s="278"/>
      <c r="S49" s="278"/>
      <c r="T49" s="278"/>
      <c r="U49" s="304"/>
      <c r="V49" s="305"/>
      <c r="W49" s="242">
        <f>SUM(I49)</f>
        <v>75</v>
      </c>
      <c r="X49" s="242"/>
      <c r="Y49" s="278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78"/>
      <c r="AU49" s="278"/>
      <c r="AV49" s="278"/>
      <c r="AW49" s="278"/>
      <c r="AX49" s="293"/>
      <c r="AY49" s="304">
        <f t="shared" si="4"/>
        <v>0</v>
      </c>
    </row>
    <row r="50" spans="1:51" s="300" customFormat="1" ht="14.25" customHeight="1" thickBot="1" x14ac:dyDescent="0.25">
      <c r="A50" s="338">
        <v>2</v>
      </c>
      <c r="B50" s="436" t="s">
        <v>178</v>
      </c>
      <c r="C50" s="437">
        <v>24882.35</v>
      </c>
      <c r="D50" s="438">
        <f t="shared" si="5"/>
        <v>-24882.35</v>
      </c>
      <c r="E50" s="464" t="s">
        <v>206</v>
      </c>
      <c r="F50" s="439">
        <f t="shared" si="1"/>
        <v>33091.147500000006</v>
      </c>
      <c r="G50" s="302"/>
      <c r="H50" s="302">
        <v>5130</v>
      </c>
      <c r="I50" s="303">
        <f t="shared" si="6"/>
        <v>24882.35</v>
      </c>
      <c r="J50" s="302"/>
      <c r="K50" s="298"/>
      <c r="L50" s="278"/>
      <c r="M50" s="278"/>
      <c r="N50" s="278"/>
      <c r="O50" s="278"/>
      <c r="P50" s="278"/>
      <c r="Q50" s="278"/>
      <c r="R50" s="278"/>
      <c r="S50" s="278"/>
      <c r="T50" s="278"/>
      <c r="U50" s="307"/>
      <c r="V50" s="308"/>
      <c r="W50" s="308"/>
      <c r="X50" s="308"/>
      <c r="Y50" s="308"/>
      <c r="Z50" s="308"/>
      <c r="AA50" s="308">
        <f>SUM(I50)</f>
        <v>24882.35</v>
      </c>
      <c r="AB50" s="308"/>
      <c r="AC50" s="308"/>
      <c r="AD50" s="308"/>
      <c r="AE50" s="308"/>
      <c r="AF50" s="308"/>
      <c r="AG50" s="308"/>
      <c r="AH50" s="308"/>
      <c r="AI50" s="308"/>
      <c r="AJ50" s="308"/>
      <c r="AK50" s="308"/>
      <c r="AL50" s="308"/>
      <c r="AM50" s="308"/>
      <c r="AN50" s="308"/>
      <c r="AO50" s="308"/>
      <c r="AP50" s="308"/>
      <c r="AQ50" s="308"/>
      <c r="AR50" s="308"/>
      <c r="AS50" s="308"/>
      <c r="AT50" s="309"/>
      <c r="AU50" s="309"/>
      <c r="AV50" s="309"/>
      <c r="AW50" s="309"/>
      <c r="AX50" s="309"/>
      <c r="AY50" s="307">
        <f t="shared" si="4"/>
        <v>0</v>
      </c>
    </row>
    <row r="51" spans="1:51" s="327" customFormat="1" ht="14.25" customHeight="1" x14ac:dyDescent="0.2">
      <c r="A51" s="321"/>
      <c r="B51" s="440"/>
      <c r="C51" s="441"/>
      <c r="D51" s="442"/>
      <c r="E51" s="465" t="s">
        <v>283</v>
      </c>
      <c r="F51" s="431">
        <f t="shared" si="1"/>
        <v>33091.147500000006</v>
      </c>
      <c r="G51" s="302"/>
      <c r="H51" s="302"/>
      <c r="I51" s="303"/>
      <c r="J51" s="302"/>
      <c r="K51" s="322"/>
      <c r="L51" s="323"/>
      <c r="M51" s="323"/>
      <c r="N51" s="323"/>
      <c r="O51" s="323"/>
      <c r="P51" s="323"/>
      <c r="Q51" s="323"/>
      <c r="R51" s="323"/>
      <c r="S51" s="323"/>
      <c r="T51" s="323"/>
      <c r="U51" s="324">
        <f>SUM(U18:U50)</f>
        <v>294.95</v>
      </c>
      <c r="V51" s="325">
        <f>SUM(V18:V50)</f>
        <v>708.65</v>
      </c>
      <c r="W51" s="325">
        <f t="shared" ref="W51:AW51" si="7">SUM(W18:W50)</f>
        <v>1060.8975</v>
      </c>
      <c r="X51" s="325">
        <f t="shared" si="7"/>
        <v>1080</v>
      </c>
      <c r="Y51" s="325">
        <f t="shared" si="7"/>
        <v>778.6875</v>
      </c>
      <c r="Z51" s="325">
        <f t="shared" si="7"/>
        <v>2500</v>
      </c>
      <c r="AA51" s="325">
        <f t="shared" si="7"/>
        <v>31257.35</v>
      </c>
      <c r="AB51" s="325">
        <f t="shared" si="7"/>
        <v>7500</v>
      </c>
      <c r="AC51" s="325">
        <f t="shared" si="7"/>
        <v>2350</v>
      </c>
      <c r="AD51" s="325">
        <f t="shared" si="7"/>
        <v>1674</v>
      </c>
      <c r="AE51" s="325">
        <f t="shared" si="7"/>
        <v>8333</v>
      </c>
      <c r="AF51" s="325">
        <f t="shared" si="7"/>
        <v>150</v>
      </c>
      <c r="AG51" s="325">
        <f t="shared" si="7"/>
        <v>2750</v>
      </c>
      <c r="AH51" s="325">
        <f t="shared" si="7"/>
        <v>27200</v>
      </c>
      <c r="AI51" s="325">
        <f t="shared" si="7"/>
        <v>2000</v>
      </c>
      <c r="AJ51" s="325">
        <f t="shared" si="7"/>
        <v>4000</v>
      </c>
      <c r="AK51" s="325">
        <f t="shared" si="7"/>
        <v>250</v>
      </c>
      <c r="AL51" s="325">
        <f t="shared" si="7"/>
        <v>1500</v>
      </c>
      <c r="AM51" s="325">
        <f t="shared" si="7"/>
        <v>200</v>
      </c>
      <c r="AN51" s="325">
        <f t="shared" si="7"/>
        <v>625</v>
      </c>
      <c r="AO51" s="325">
        <f t="shared" si="7"/>
        <v>0</v>
      </c>
      <c r="AP51" s="325">
        <f t="shared" si="7"/>
        <v>1833.35</v>
      </c>
      <c r="AQ51" s="325">
        <f t="shared" si="7"/>
        <v>111.1875</v>
      </c>
      <c r="AR51" s="325">
        <f t="shared" si="7"/>
        <v>63.75</v>
      </c>
      <c r="AS51" s="325">
        <f t="shared" si="7"/>
        <v>0</v>
      </c>
      <c r="AT51" s="325">
        <f t="shared" si="7"/>
        <v>19304.68</v>
      </c>
      <c r="AU51" s="325">
        <f t="shared" si="7"/>
        <v>3439.25</v>
      </c>
      <c r="AV51" s="325">
        <f t="shared" si="7"/>
        <v>0</v>
      </c>
      <c r="AW51" s="325">
        <f t="shared" si="7"/>
        <v>750</v>
      </c>
      <c r="AX51" s="325">
        <f>SUM(AX18:AX50)</f>
        <v>1750</v>
      </c>
      <c r="AY51" s="326"/>
    </row>
    <row r="52" spans="1:51" s="327" customFormat="1" ht="14.25" customHeight="1" x14ac:dyDescent="0.2">
      <c r="A52" s="321"/>
      <c r="B52" s="440"/>
      <c r="C52" s="441"/>
      <c r="D52" s="442"/>
      <c r="E52" s="47"/>
      <c r="F52" s="431">
        <f t="shared" si="1"/>
        <v>33091.147500000006</v>
      </c>
      <c r="G52" s="302"/>
      <c r="H52" s="302"/>
      <c r="I52" s="303"/>
      <c r="J52" s="302"/>
      <c r="K52" s="322"/>
      <c r="L52" s="323"/>
      <c r="M52" s="323"/>
      <c r="N52" s="323"/>
      <c r="O52" s="323"/>
      <c r="P52" s="323"/>
      <c r="Q52" s="323"/>
      <c r="R52" s="323"/>
      <c r="S52" s="323"/>
      <c r="T52" s="323"/>
      <c r="U52" s="326"/>
      <c r="V52" s="328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323"/>
      <c r="AU52" s="323"/>
      <c r="AV52" s="323"/>
      <c r="AW52" s="323"/>
      <c r="AX52" s="329"/>
      <c r="AY52" s="326"/>
    </row>
    <row r="53" spans="1:51" s="300" customFormat="1" ht="14.25" customHeight="1" x14ac:dyDescent="0.2">
      <c r="A53" s="290">
        <v>3</v>
      </c>
      <c r="B53" s="432" t="s">
        <v>177</v>
      </c>
      <c r="C53" s="433">
        <v>2000</v>
      </c>
      <c r="D53" s="430">
        <f t="shared" si="5"/>
        <v>-2000</v>
      </c>
      <c r="E53" s="28">
        <v>43891</v>
      </c>
      <c r="F53" s="431">
        <f t="shared" si="1"/>
        <v>31091.147500000006</v>
      </c>
      <c r="G53" s="302"/>
      <c r="H53" s="302"/>
      <c r="I53" s="303"/>
      <c r="J53" s="302"/>
      <c r="K53" s="298"/>
      <c r="L53" s="278"/>
      <c r="M53" s="278"/>
      <c r="N53" s="278"/>
      <c r="O53" s="278"/>
      <c r="P53" s="278"/>
      <c r="Q53" s="278"/>
      <c r="R53" s="278"/>
      <c r="S53" s="278"/>
      <c r="T53" s="278"/>
      <c r="U53" s="304"/>
      <c r="V53" s="305">
        <v>250</v>
      </c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78"/>
      <c r="AU53" s="278"/>
      <c r="AV53" s="278"/>
      <c r="AW53" s="278"/>
      <c r="AX53" s="305">
        <v>1750</v>
      </c>
      <c r="AY53" s="304">
        <f t="shared" ref="AY53:AY80" si="8">SUM(U53:AX53)-C53</f>
        <v>0</v>
      </c>
    </row>
    <row r="54" spans="1:51" s="300" customFormat="1" ht="14.25" customHeight="1" x14ac:dyDescent="0.2">
      <c r="A54" s="290">
        <v>3</v>
      </c>
      <c r="B54" s="432" t="s">
        <v>176</v>
      </c>
      <c r="C54" s="433">
        <v>7500</v>
      </c>
      <c r="D54" s="430">
        <f t="shared" si="5"/>
        <v>-7500</v>
      </c>
      <c r="E54" s="28">
        <v>43891</v>
      </c>
      <c r="F54" s="431">
        <f t="shared" si="1"/>
        <v>23591.147500000006</v>
      </c>
      <c r="G54" s="302"/>
      <c r="H54" s="302">
        <v>5510</v>
      </c>
      <c r="I54" s="303">
        <f>C54</f>
        <v>7500</v>
      </c>
      <c r="J54" s="302"/>
      <c r="K54" s="298"/>
      <c r="L54" s="278"/>
      <c r="M54" s="278"/>
      <c r="N54" s="278"/>
      <c r="O54" s="278"/>
      <c r="P54" s="278"/>
      <c r="Q54" s="278"/>
      <c r="R54" s="278"/>
      <c r="S54" s="278"/>
      <c r="T54" s="278"/>
      <c r="U54" s="304"/>
      <c r="V54" s="305"/>
      <c r="W54" s="242"/>
      <c r="X54" s="242"/>
      <c r="Y54" s="242"/>
      <c r="Z54" s="242"/>
      <c r="AA54" s="242"/>
      <c r="AB54" s="242">
        <f>SUM(I54)</f>
        <v>7500</v>
      </c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78"/>
      <c r="AU54" s="278"/>
      <c r="AV54" s="278"/>
      <c r="AW54" s="278"/>
      <c r="AX54" s="293"/>
      <c r="AY54" s="304">
        <f t="shared" si="8"/>
        <v>0</v>
      </c>
    </row>
    <row r="55" spans="1:51" s="300" customFormat="1" ht="14.25" customHeight="1" x14ac:dyDescent="0.2">
      <c r="A55" s="290">
        <v>3</v>
      </c>
      <c r="B55" s="432" t="s">
        <v>175</v>
      </c>
      <c r="C55" s="433">
        <v>550</v>
      </c>
      <c r="D55" s="430">
        <f t="shared" si="5"/>
        <v>-550</v>
      </c>
      <c r="E55" s="28">
        <v>43891</v>
      </c>
      <c r="F55" s="431">
        <f t="shared" si="1"/>
        <v>23041.147500000006</v>
      </c>
      <c r="G55" s="302"/>
      <c r="H55" s="302">
        <v>7650</v>
      </c>
      <c r="I55" s="303">
        <f>C55</f>
        <v>550</v>
      </c>
      <c r="J55" s="302"/>
      <c r="K55" s="298"/>
      <c r="L55" s="278"/>
      <c r="M55" s="278"/>
      <c r="N55" s="278"/>
      <c r="O55" s="278"/>
      <c r="P55" s="278"/>
      <c r="Q55" s="278"/>
      <c r="R55" s="278"/>
      <c r="S55" s="278"/>
      <c r="T55" s="278"/>
      <c r="U55" s="304"/>
      <c r="V55" s="305"/>
      <c r="W55" s="242"/>
      <c r="X55" s="242"/>
      <c r="Y55" s="242"/>
      <c r="Z55" s="242"/>
      <c r="AA55" s="242"/>
      <c r="AB55" s="242"/>
      <c r="AC55" s="242">
        <f>SUM(I55)</f>
        <v>550</v>
      </c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78"/>
      <c r="AU55" s="278"/>
      <c r="AV55" s="278"/>
      <c r="AW55" s="278"/>
      <c r="AX55" s="293"/>
      <c r="AY55" s="304">
        <f t="shared" si="8"/>
        <v>0</v>
      </c>
    </row>
    <row r="56" spans="1:51" s="300" customFormat="1" ht="14.25" customHeight="1" x14ac:dyDescent="0.2">
      <c r="A56" s="290">
        <v>3</v>
      </c>
      <c r="B56" s="432" t="s">
        <v>174</v>
      </c>
      <c r="C56" s="433">
        <v>1800</v>
      </c>
      <c r="D56" s="430">
        <f t="shared" si="5"/>
        <v>-1800</v>
      </c>
      <c r="E56" s="28" t="s">
        <v>187</v>
      </c>
      <c r="F56" s="431">
        <f t="shared" si="1"/>
        <v>21241.147500000006</v>
      </c>
      <c r="G56" s="302"/>
      <c r="H56" s="302">
        <v>7650</v>
      </c>
      <c r="I56" s="303">
        <f>C56</f>
        <v>1800</v>
      </c>
      <c r="J56" s="302"/>
      <c r="K56" s="298"/>
      <c r="L56" s="278"/>
      <c r="M56" s="278"/>
      <c r="N56" s="278"/>
      <c r="O56" s="278"/>
      <c r="P56" s="278"/>
      <c r="Q56" s="278"/>
      <c r="R56" s="278"/>
      <c r="S56" s="278"/>
      <c r="T56" s="278"/>
      <c r="U56" s="304"/>
      <c r="V56" s="305"/>
      <c r="W56" s="242"/>
      <c r="X56" s="242"/>
      <c r="Y56" s="242"/>
      <c r="Z56" s="242"/>
      <c r="AA56" s="242"/>
      <c r="AB56" s="242"/>
      <c r="AC56" s="242">
        <f>SUM(I56)</f>
        <v>1800</v>
      </c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78"/>
      <c r="AU56" s="278"/>
      <c r="AV56" s="278"/>
      <c r="AW56" s="278"/>
      <c r="AX56" s="293"/>
      <c r="AY56" s="304">
        <f t="shared" si="8"/>
        <v>0</v>
      </c>
    </row>
    <row r="57" spans="1:51" s="300" customFormat="1" ht="14.25" customHeight="1" x14ac:dyDescent="0.2">
      <c r="A57" s="290">
        <v>3</v>
      </c>
      <c r="B57" s="432" t="s">
        <v>172</v>
      </c>
      <c r="C57" s="433">
        <v>9917</v>
      </c>
      <c r="D57" s="430">
        <f t="shared" si="5"/>
        <v>-9917</v>
      </c>
      <c r="E57" s="28">
        <v>43891</v>
      </c>
      <c r="F57" s="431">
        <f t="shared" si="1"/>
        <v>11324.147500000006</v>
      </c>
      <c r="G57" s="302"/>
      <c r="H57" s="302">
        <v>5750</v>
      </c>
      <c r="I57" s="313">
        <v>1584</v>
      </c>
      <c r="J57" s="302">
        <v>5520</v>
      </c>
      <c r="K57" s="298">
        <v>8333</v>
      </c>
      <c r="L57" s="278"/>
      <c r="M57" s="278"/>
      <c r="N57" s="278"/>
      <c r="O57" s="278"/>
      <c r="P57" s="278"/>
      <c r="Q57" s="278"/>
      <c r="R57" s="278"/>
      <c r="S57" s="278"/>
      <c r="T57" s="278"/>
      <c r="U57" s="304"/>
      <c r="V57" s="305"/>
      <c r="W57" s="242"/>
      <c r="X57" s="242"/>
      <c r="Y57" s="242"/>
      <c r="Z57" s="242"/>
      <c r="AA57" s="242"/>
      <c r="AB57" s="242"/>
      <c r="AC57" s="242"/>
      <c r="AD57" s="242">
        <f>SUM(I57)</f>
        <v>1584</v>
      </c>
      <c r="AE57" s="242">
        <f>SUM(K57)</f>
        <v>8333</v>
      </c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78"/>
      <c r="AU57" s="278"/>
      <c r="AV57" s="278"/>
      <c r="AW57" s="278"/>
      <c r="AX57" s="293"/>
      <c r="AY57" s="304">
        <f t="shared" si="8"/>
        <v>0</v>
      </c>
    </row>
    <row r="58" spans="1:51" s="300" customFormat="1" ht="14.25" customHeight="1" x14ac:dyDescent="0.2">
      <c r="A58" s="290">
        <v>3</v>
      </c>
      <c r="B58" s="432" t="s">
        <v>171</v>
      </c>
      <c r="C58" s="433">
        <v>34.950000000000003</v>
      </c>
      <c r="D58" s="430">
        <f t="shared" si="5"/>
        <v>-34.950000000000003</v>
      </c>
      <c r="E58" s="28">
        <v>43891</v>
      </c>
      <c r="F58" s="431">
        <f t="shared" si="1"/>
        <v>11289.197500000006</v>
      </c>
      <c r="G58" s="302"/>
      <c r="H58" s="302">
        <v>7850</v>
      </c>
      <c r="I58" s="303">
        <f>C58</f>
        <v>34.950000000000003</v>
      </c>
      <c r="J58" s="302"/>
      <c r="K58" s="298"/>
      <c r="L58" s="278"/>
      <c r="M58" s="278"/>
      <c r="N58" s="278"/>
      <c r="O58" s="278"/>
      <c r="P58" s="278"/>
      <c r="Q58" s="278"/>
      <c r="R58" s="278"/>
      <c r="S58" s="278"/>
      <c r="T58" s="278"/>
      <c r="U58" s="304">
        <f>SUM(I58)</f>
        <v>34.950000000000003</v>
      </c>
      <c r="V58" s="305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78"/>
      <c r="AU58" s="278"/>
      <c r="AV58" s="278"/>
      <c r="AW58" s="278"/>
      <c r="AX58" s="293"/>
      <c r="AY58" s="304">
        <f t="shared" si="8"/>
        <v>0</v>
      </c>
    </row>
    <row r="59" spans="1:51" s="300" customFormat="1" ht="14.25" customHeight="1" x14ac:dyDescent="0.2">
      <c r="A59" s="8">
        <v>3</v>
      </c>
      <c r="B59" s="432" t="s">
        <v>392</v>
      </c>
      <c r="C59" s="433">
        <v>4500</v>
      </c>
      <c r="D59" s="430">
        <f t="shared" si="5"/>
        <v>-4500</v>
      </c>
      <c r="E59" s="28" t="s">
        <v>393</v>
      </c>
      <c r="F59" s="431">
        <f t="shared" si="1"/>
        <v>6789.1975000000057</v>
      </c>
      <c r="G59" s="302"/>
      <c r="H59" s="302"/>
      <c r="I59" s="303"/>
      <c r="J59" s="302"/>
      <c r="K59" s="298"/>
      <c r="L59" s="278"/>
      <c r="M59" s="278"/>
      <c r="N59" s="278"/>
      <c r="O59" s="278"/>
      <c r="P59" s="278"/>
      <c r="Q59" s="278"/>
      <c r="R59" s="278"/>
      <c r="S59" s="278"/>
      <c r="T59" s="278"/>
      <c r="U59" s="304"/>
      <c r="V59" s="305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78"/>
      <c r="AU59" s="278"/>
      <c r="AV59" s="242">
        <f>SUM(C59)</f>
        <v>4500</v>
      </c>
      <c r="AW59" s="278"/>
      <c r="AX59" s="293"/>
      <c r="AY59" s="304">
        <f t="shared" si="8"/>
        <v>0</v>
      </c>
    </row>
    <row r="60" spans="1:51" s="300" customFormat="1" ht="14.25" customHeight="1" x14ac:dyDescent="0.2">
      <c r="A60" s="290">
        <v>3</v>
      </c>
      <c r="B60" s="432" t="s">
        <v>169</v>
      </c>
      <c r="C60" s="433">
        <v>150</v>
      </c>
      <c r="D60" s="430">
        <f t="shared" si="5"/>
        <v>-150</v>
      </c>
      <c r="E60" s="28" t="s">
        <v>186</v>
      </c>
      <c r="F60" s="431">
        <f t="shared" si="1"/>
        <v>6639.1975000000057</v>
      </c>
      <c r="G60" s="302"/>
      <c r="H60" s="302">
        <v>7090</v>
      </c>
      <c r="I60" s="303">
        <f>C60</f>
        <v>150</v>
      </c>
      <c r="J60" s="302"/>
      <c r="K60" s="298"/>
      <c r="L60" s="278"/>
      <c r="M60" s="278"/>
      <c r="N60" s="278"/>
      <c r="O60" s="278"/>
      <c r="P60" s="278"/>
      <c r="Q60" s="278"/>
      <c r="R60" s="278"/>
      <c r="S60" s="278"/>
      <c r="T60" s="278"/>
      <c r="U60" s="304"/>
      <c r="V60" s="305"/>
      <c r="W60" s="242"/>
      <c r="X60" s="242"/>
      <c r="Y60" s="242"/>
      <c r="Z60" s="242"/>
      <c r="AA60" s="242"/>
      <c r="AB60" s="242"/>
      <c r="AC60" s="242"/>
      <c r="AD60" s="242"/>
      <c r="AE60" s="242"/>
      <c r="AF60" s="242">
        <f>SUM(I60)</f>
        <v>150</v>
      </c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78"/>
      <c r="AU60" s="278"/>
      <c r="AV60" s="278"/>
      <c r="AW60" s="278"/>
      <c r="AX60" s="293"/>
      <c r="AY60" s="304">
        <f t="shared" si="8"/>
        <v>0</v>
      </c>
    </row>
    <row r="61" spans="1:51" s="300" customFormat="1" ht="14.25" customHeight="1" x14ac:dyDescent="0.2">
      <c r="A61" s="330">
        <v>3</v>
      </c>
      <c r="B61" s="443" t="s">
        <v>155</v>
      </c>
      <c r="C61" s="444">
        <f>SUM(C37)</f>
        <v>18100</v>
      </c>
      <c r="D61" s="445">
        <f t="shared" si="5"/>
        <v>-18100</v>
      </c>
      <c r="E61" s="133">
        <v>43895</v>
      </c>
      <c r="F61" s="446">
        <f t="shared" si="1"/>
        <v>-11460.802499999994</v>
      </c>
      <c r="G61" s="302"/>
      <c r="H61" s="302">
        <v>8570</v>
      </c>
      <c r="I61" s="313">
        <v>1375</v>
      </c>
      <c r="J61" s="302" t="s">
        <v>207</v>
      </c>
      <c r="K61" s="298" t="s">
        <v>207</v>
      </c>
      <c r="L61" s="278">
        <v>8510</v>
      </c>
      <c r="M61" s="298">
        <v>13600</v>
      </c>
      <c r="N61" s="314">
        <v>8250</v>
      </c>
      <c r="O61" s="298">
        <v>1000</v>
      </c>
      <c r="P61" s="314">
        <v>8530</v>
      </c>
      <c r="Q61" s="315">
        <v>2000</v>
      </c>
      <c r="R61" s="314">
        <v>8590</v>
      </c>
      <c r="S61" s="298">
        <v>125</v>
      </c>
      <c r="T61" s="316">
        <f>SUM(I61+M61+O61+Q61+S61)</f>
        <v>18100</v>
      </c>
      <c r="U61" s="304"/>
      <c r="V61" s="305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>
        <f>SUM(I61)</f>
        <v>1375</v>
      </c>
      <c r="AH61" s="242">
        <f>SUM(M61)</f>
        <v>13600</v>
      </c>
      <c r="AI61" s="242">
        <f>SUM(O61)</f>
        <v>1000</v>
      </c>
      <c r="AJ61" s="242">
        <f>SUM(Q61)</f>
        <v>2000</v>
      </c>
      <c r="AK61" s="242">
        <f>SUM(S61)</f>
        <v>125</v>
      </c>
      <c r="AL61" s="242"/>
      <c r="AM61" s="242"/>
      <c r="AN61" s="242"/>
      <c r="AO61" s="242"/>
      <c r="AP61" s="242"/>
      <c r="AQ61" s="242"/>
      <c r="AR61" s="242"/>
      <c r="AS61" s="242"/>
      <c r="AT61" s="278"/>
      <c r="AU61" s="278"/>
      <c r="AV61" s="278"/>
      <c r="AW61" s="278"/>
      <c r="AX61" s="293"/>
      <c r="AY61" s="304">
        <f t="shared" si="8"/>
        <v>0</v>
      </c>
    </row>
    <row r="62" spans="1:51" s="300" customFormat="1" ht="14.25" customHeight="1" x14ac:dyDescent="0.2">
      <c r="A62" s="290">
        <v>3</v>
      </c>
      <c r="B62" s="432" t="s">
        <v>153</v>
      </c>
      <c r="C62" s="433">
        <v>100</v>
      </c>
      <c r="D62" s="430">
        <f t="shared" si="5"/>
        <v>-100</v>
      </c>
      <c r="E62" s="28">
        <v>43897</v>
      </c>
      <c r="F62" s="431">
        <f t="shared" si="1"/>
        <v>-11560.802499999994</v>
      </c>
      <c r="G62" s="302"/>
      <c r="H62" s="302">
        <v>7850</v>
      </c>
      <c r="I62" s="303">
        <f>C62</f>
        <v>100</v>
      </c>
      <c r="J62" s="302"/>
      <c r="K62" s="298"/>
      <c r="L62" s="278"/>
      <c r="M62" s="278"/>
      <c r="N62" s="278"/>
      <c r="O62" s="278"/>
      <c r="P62" s="278"/>
      <c r="Q62" s="278"/>
      <c r="R62" s="278"/>
      <c r="S62" s="278"/>
      <c r="T62" s="278"/>
      <c r="U62" s="304">
        <f>SUM(I62)</f>
        <v>100</v>
      </c>
      <c r="V62" s="305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78"/>
      <c r="AU62" s="278"/>
      <c r="AV62" s="278"/>
      <c r="AW62" s="278"/>
      <c r="AX62" s="293"/>
      <c r="AY62" s="304">
        <f t="shared" si="8"/>
        <v>0</v>
      </c>
    </row>
    <row r="63" spans="1:51" s="300" customFormat="1" ht="14.25" customHeight="1" x14ac:dyDescent="0.3">
      <c r="A63" s="331">
        <v>3</v>
      </c>
      <c r="B63" s="447" t="s">
        <v>157</v>
      </c>
      <c r="C63" s="448"/>
      <c r="D63" s="449">
        <v>40630.800000000003</v>
      </c>
      <c r="E63" s="139" t="s">
        <v>158</v>
      </c>
      <c r="F63" s="450">
        <f t="shared" si="1"/>
        <v>29069.997500000009</v>
      </c>
      <c r="G63" s="82"/>
      <c r="H63" s="302" t="s">
        <v>207</v>
      </c>
      <c r="I63" s="303" t="s">
        <v>207</v>
      </c>
      <c r="J63" s="302"/>
      <c r="K63" s="298"/>
      <c r="L63" s="278"/>
      <c r="M63" s="278"/>
      <c r="N63" s="278"/>
      <c r="O63" s="278"/>
      <c r="P63" s="278"/>
      <c r="Q63" s="278"/>
      <c r="R63" s="278"/>
      <c r="S63" s="278"/>
      <c r="T63" s="278"/>
      <c r="U63" s="304"/>
      <c r="V63" s="305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78"/>
      <c r="AU63" s="278"/>
      <c r="AV63" s="278"/>
      <c r="AW63" s="278"/>
      <c r="AX63" s="293"/>
      <c r="AY63" s="304">
        <f t="shared" si="8"/>
        <v>0</v>
      </c>
    </row>
    <row r="64" spans="1:51" s="300" customFormat="1" ht="14.25" customHeight="1" x14ac:dyDescent="0.3">
      <c r="A64" s="331">
        <v>3</v>
      </c>
      <c r="B64" s="447" t="s">
        <v>157</v>
      </c>
      <c r="C64" s="448"/>
      <c r="D64" s="449">
        <v>262637.08</v>
      </c>
      <c r="E64" s="139" t="s">
        <v>156</v>
      </c>
      <c r="F64" s="450">
        <f t="shared" si="1"/>
        <v>291707.07750000001</v>
      </c>
      <c r="G64" s="302"/>
      <c r="H64" s="302" t="s">
        <v>207</v>
      </c>
      <c r="I64" s="302" t="s">
        <v>207</v>
      </c>
      <c r="J64" s="302"/>
      <c r="K64" s="298"/>
      <c r="L64" s="278"/>
      <c r="M64" s="278"/>
      <c r="N64" s="278"/>
      <c r="O64" s="278"/>
      <c r="P64" s="278"/>
      <c r="Q64" s="278"/>
      <c r="R64" s="278"/>
      <c r="S64" s="278"/>
      <c r="T64" s="278"/>
      <c r="U64" s="304"/>
      <c r="V64" s="305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  <c r="AR64" s="242"/>
      <c r="AS64" s="242"/>
      <c r="AT64" s="278"/>
      <c r="AU64" s="278"/>
      <c r="AV64" s="278"/>
      <c r="AW64" s="278"/>
      <c r="AX64" s="293"/>
      <c r="AY64" s="304">
        <f t="shared" si="8"/>
        <v>0</v>
      </c>
    </row>
    <row r="65" spans="1:51" s="300" customFormat="1" ht="14.25" customHeight="1" x14ac:dyDescent="0.2">
      <c r="A65" s="290">
        <v>3</v>
      </c>
      <c r="B65" s="432" t="s">
        <v>165</v>
      </c>
      <c r="C65" s="433">
        <v>200</v>
      </c>
      <c r="D65" s="430">
        <f>SUM(C65*-1)</f>
        <v>-200</v>
      </c>
      <c r="E65" s="28">
        <v>43905</v>
      </c>
      <c r="F65" s="431">
        <f t="shared" si="1"/>
        <v>291507.07750000001</v>
      </c>
      <c r="G65" s="82"/>
      <c r="H65" s="302">
        <v>6770</v>
      </c>
      <c r="I65" s="303">
        <f>C65</f>
        <v>200</v>
      </c>
      <c r="J65" s="302"/>
      <c r="K65" s="298"/>
      <c r="L65" s="278"/>
      <c r="M65" s="278"/>
      <c r="N65" s="278"/>
      <c r="O65" s="278"/>
      <c r="P65" s="278"/>
      <c r="Q65" s="278"/>
      <c r="R65" s="278"/>
      <c r="S65" s="278"/>
      <c r="T65" s="278"/>
      <c r="U65" s="304"/>
      <c r="V65" s="305"/>
      <c r="W65" s="242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>
        <f>SUM(I65)</f>
        <v>200</v>
      </c>
      <c r="AN65" s="242"/>
      <c r="AO65" s="242"/>
      <c r="AP65" s="242"/>
      <c r="AQ65" s="242"/>
      <c r="AR65" s="242"/>
      <c r="AS65" s="242"/>
      <c r="AT65" s="278"/>
      <c r="AU65" s="278"/>
      <c r="AV65" s="278"/>
      <c r="AW65" s="278"/>
      <c r="AX65" s="293"/>
      <c r="AY65" s="304">
        <f t="shared" si="8"/>
        <v>0</v>
      </c>
    </row>
    <row r="66" spans="1:51" s="300" customFormat="1" ht="14.25" customHeight="1" x14ac:dyDescent="0.2">
      <c r="A66" s="290">
        <v>3</v>
      </c>
      <c r="B66" s="40" t="s">
        <v>164</v>
      </c>
      <c r="C66" s="433">
        <v>625</v>
      </c>
      <c r="D66" s="430">
        <f>SUM(C66*-1)</f>
        <v>-625</v>
      </c>
      <c r="E66" s="28" t="s">
        <v>185</v>
      </c>
      <c r="F66" s="431">
        <f t="shared" si="1"/>
        <v>290882.07750000001</v>
      </c>
      <c r="G66" s="82"/>
      <c r="H66" s="302">
        <v>5540</v>
      </c>
      <c r="I66" s="303">
        <f>C66</f>
        <v>625</v>
      </c>
      <c r="J66" s="302"/>
      <c r="K66" s="298"/>
      <c r="L66" s="278"/>
      <c r="M66" s="278"/>
      <c r="N66" s="278"/>
      <c r="O66" s="278"/>
      <c r="P66" s="278"/>
      <c r="Q66" s="278"/>
      <c r="R66" s="278"/>
      <c r="S66" s="278"/>
      <c r="T66" s="278"/>
      <c r="U66" s="304"/>
      <c r="V66" s="305"/>
      <c r="W66" s="242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42"/>
      <c r="AN66" s="242">
        <f>SUM(I66)</f>
        <v>625</v>
      </c>
      <c r="AO66" s="242"/>
      <c r="AP66" s="242"/>
      <c r="AQ66" s="242"/>
      <c r="AR66" s="242"/>
      <c r="AS66" s="242"/>
      <c r="AT66" s="278"/>
      <c r="AU66" s="278"/>
      <c r="AV66" s="278"/>
      <c r="AW66" s="278"/>
      <c r="AX66" s="293"/>
      <c r="AY66" s="304">
        <f t="shared" si="8"/>
        <v>0</v>
      </c>
    </row>
    <row r="67" spans="1:51" s="300" customFormat="1" ht="14.25" customHeight="1" x14ac:dyDescent="0.2">
      <c r="A67" s="290">
        <v>3</v>
      </c>
      <c r="B67" s="432" t="s">
        <v>162</v>
      </c>
      <c r="C67" s="433">
        <v>60</v>
      </c>
      <c r="D67" s="430">
        <f>SUM(C67*-1)</f>
        <v>-60</v>
      </c>
      <c r="E67" s="28">
        <v>43905</v>
      </c>
      <c r="F67" s="431">
        <f t="shared" si="1"/>
        <v>290822.07750000001</v>
      </c>
      <c r="G67" s="82"/>
      <c r="H67" s="302">
        <v>7850</v>
      </c>
      <c r="I67" s="303">
        <f>C67</f>
        <v>60</v>
      </c>
      <c r="J67" s="302"/>
      <c r="K67" s="298"/>
      <c r="L67" s="278"/>
      <c r="M67" s="278"/>
      <c r="N67" s="278"/>
      <c r="O67" s="278"/>
      <c r="P67" s="278"/>
      <c r="Q67" s="278"/>
      <c r="R67" s="278"/>
      <c r="S67" s="278"/>
      <c r="T67" s="278"/>
      <c r="U67" s="304">
        <f>SUM(I67)</f>
        <v>60</v>
      </c>
      <c r="V67" s="305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78"/>
      <c r="AU67" s="278"/>
      <c r="AV67" s="278"/>
      <c r="AW67" s="278"/>
      <c r="AX67" s="293"/>
      <c r="AY67" s="304">
        <f t="shared" si="8"/>
        <v>0</v>
      </c>
    </row>
    <row r="68" spans="1:51" s="300" customFormat="1" ht="14.25" customHeight="1" x14ac:dyDescent="0.2">
      <c r="A68" s="290">
        <v>3</v>
      </c>
      <c r="B68" s="40" t="s">
        <v>160</v>
      </c>
      <c r="C68" s="30">
        <v>1833.35</v>
      </c>
      <c r="D68" s="430">
        <f>SUM(C68*-1)</f>
        <v>-1833.35</v>
      </c>
      <c r="E68" s="28">
        <v>43906</v>
      </c>
      <c r="F68" s="431">
        <f t="shared" si="1"/>
        <v>288988.72750000004</v>
      </c>
      <c r="G68" s="82"/>
      <c r="H68" s="302">
        <v>6590</v>
      </c>
      <c r="I68" s="303">
        <f>C68</f>
        <v>1833.35</v>
      </c>
      <c r="J68" s="302"/>
      <c r="K68" s="298"/>
      <c r="L68" s="278"/>
      <c r="M68" s="278"/>
      <c r="N68" s="278"/>
      <c r="O68" s="278"/>
      <c r="P68" s="278"/>
      <c r="Q68" s="278"/>
      <c r="R68" s="278"/>
      <c r="S68" s="278"/>
      <c r="T68" s="278"/>
      <c r="U68" s="304"/>
      <c r="V68" s="305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78"/>
      <c r="AP68" s="242">
        <f>SUM(I68)</f>
        <v>1833.35</v>
      </c>
      <c r="AQ68" s="242"/>
      <c r="AR68" s="242"/>
      <c r="AS68" s="242"/>
      <c r="AT68" s="278"/>
      <c r="AU68" s="278"/>
      <c r="AV68" s="278"/>
      <c r="AW68" s="278"/>
      <c r="AX68" s="293"/>
      <c r="AY68" s="304">
        <f t="shared" si="8"/>
        <v>0</v>
      </c>
    </row>
    <row r="69" spans="1:51" s="300" customFormat="1" ht="14.25" customHeight="1" x14ac:dyDescent="0.2">
      <c r="A69" s="321">
        <v>3</v>
      </c>
      <c r="B69" s="440" t="s">
        <v>155</v>
      </c>
      <c r="C69" s="441">
        <f>SUM(C61)</f>
        <v>18100</v>
      </c>
      <c r="D69" s="442">
        <f>SUM(C69*-1)</f>
        <v>-18100</v>
      </c>
      <c r="E69" s="47" t="s">
        <v>184</v>
      </c>
      <c r="F69" s="431">
        <f t="shared" si="1"/>
        <v>270888.72750000004</v>
      </c>
      <c r="G69" s="82"/>
      <c r="H69" s="302">
        <v>8570</v>
      </c>
      <c r="I69" s="313">
        <v>1375</v>
      </c>
      <c r="J69" s="302" t="s">
        <v>207</v>
      </c>
      <c r="K69" s="298" t="s">
        <v>207</v>
      </c>
      <c r="L69" s="278">
        <v>8510</v>
      </c>
      <c r="M69" s="298">
        <v>13600</v>
      </c>
      <c r="N69" s="314">
        <v>8250</v>
      </c>
      <c r="O69" s="298">
        <v>1000</v>
      </c>
      <c r="P69" s="314">
        <v>8530</v>
      </c>
      <c r="Q69" s="315">
        <v>2000</v>
      </c>
      <c r="R69" s="314">
        <v>8590</v>
      </c>
      <c r="S69" s="298">
        <v>125</v>
      </c>
      <c r="T69" s="316">
        <f>SUM(I69+M69+O69+Q69+S69)</f>
        <v>18100</v>
      </c>
      <c r="U69" s="304"/>
      <c r="V69" s="305"/>
      <c r="W69" s="242"/>
      <c r="X69" s="242"/>
      <c r="Y69" s="242"/>
      <c r="Z69" s="242"/>
      <c r="AA69" s="242"/>
      <c r="AB69" s="242"/>
      <c r="AC69" s="242"/>
      <c r="AD69" s="242"/>
      <c r="AE69" s="242"/>
      <c r="AF69" s="242"/>
      <c r="AG69" s="242">
        <f>SUM(I69)</f>
        <v>1375</v>
      </c>
      <c r="AH69" s="242">
        <f>SUM(M69)</f>
        <v>13600</v>
      </c>
      <c r="AI69" s="242">
        <f>SUM(O69)</f>
        <v>1000</v>
      </c>
      <c r="AJ69" s="242">
        <f>SUM(Q69)</f>
        <v>2000</v>
      </c>
      <c r="AK69" s="242">
        <f>SUM(S69)</f>
        <v>125</v>
      </c>
      <c r="AL69" s="242"/>
      <c r="AM69" s="242"/>
      <c r="AN69" s="242"/>
      <c r="AO69" s="242"/>
      <c r="AP69" s="242"/>
      <c r="AQ69" s="242"/>
      <c r="AR69" s="242"/>
      <c r="AS69" s="242"/>
      <c r="AT69" s="278"/>
      <c r="AU69" s="278"/>
      <c r="AV69" s="278"/>
      <c r="AW69" s="278"/>
      <c r="AX69" s="293"/>
      <c r="AY69" s="304">
        <f t="shared" si="8"/>
        <v>0</v>
      </c>
    </row>
    <row r="70" spans="1:51" s="300" customFormat="1" ht="14.25" customHeight="1" x14ac:dyDescent="0.2">
      <c r="A70" s="317">
        <v>3</v>
      </c>
      <c r="B70" s="148" t="s">
        <v>344</v>
      </c>
      <c r="C70" s="451"/>
      <c r="D70" s="434">
        <v>-65000</v>
      </c>
      <c r="E70" s="146" t="s">
        <v>345</v>
      </c>
      <c r="F70" s="435">
        <f t="shared" ref="F70:F134" si="9">SUM(F69+D70)</f>
        <v>205888.72750000004</v>
      </c>
      <c r="G70" s="82"/>
      <c r="H70" s="302" t="s">
        <v>207</v>
      </c>
      <c r="I70" s="302" t="s">
        <v>207</v>
      </c>
      <c r="J70" s="302"/>
      <c r="K70" s="298"/>
      <c r="L70" s="278"/>
      <c r="M70" s="278"/>
      <c r="N70" s="278"/>
      <c r="O70" s="278"/>
      <c r="P70" s="278"/>
      <c r="Q70" s="278"/>
      <c r="R70" s="278"/>
      <c r="S70" s="278"/>
      <c r="T70" s="278"/>
      <c r="U70" s="304"/>
      <c r="V70" s="305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78"/>
      <c r="AU70" s="278"/>
      <c r="AV70" s="278"/>
      <c r="AW70" s="278"/>
      <c r="AX70" s="293"/>
      <c r="AY70" s="304">
        <f t="shared" si="8"/>
        <v>0</v>
      </c>
    </row>
    <row r="71" spans="1:51" s="300" customFormat="1" ht="14.25" customHeight="1" x14ac:dyDescent="0.2">
      <c r="A71" s="290">
        <v>3</v>
      </c>
      <c r="B71" s="432" t="s">
        <v>153</v>
      </c>
      <c r="C71" s="433">
        <v>100</v>
      </c>
      <c r="D71" s="430">
        <f t="shared" ref="D71:D102" si="10">SUM(C71*-1)</f>
        <v>-100</v>
      </c>
      <c r="E71" s="28">
        <v>43911</v>
      </c>
      <c r="F71" s="431">
        <f t="shared" si="9"/>
        <v>205788.72750000004</v>
      </c>
      <c r="G71" s="302"/>
      <c r="H71" s="302">
        <v>7850</v>
      </c>
      <c r="I71" s="303">
        <f>C71</f>
        <v>100</v>
      </c>
      <c r="J71" s="302"/>
      <c r="K71" s="298"/>
      <c r="L71" s="236"/>
      <c r="M71" s="290"/>
      <c r="N71" s="278"/>
      <c r="O71" s="278"/>
      <c r="P71" s="278"/>
      <c r="Q71" s="278"/>
      <c r="R71" s="278"/>
      <c r="S71" s="278"/>
      <c r="T71" s="278"/>
      <c r="U71" s="304">
        <f>SUM(I71)</f>
        <v>100</v>
      </c>
      <c r="V71" s="305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78"/>
      <c r="AU71" s="278"/>
      <c r="AV71" s="278"/>
      <c r="AW71" s="278"/>
      <c r="AX71" s="293"/>
      <c r="AY71" s="304">
        <f t="shared" si="8"/>
        <v>0</v>
      </c>
    </row>
    <row r="72" spans="1:51" s="300" customFormat="1" ht="14.25" customHeight="1" x14ac:dyDescent="0.2">
      <c r="A72" s="290">
        <v>3</v>
      </c>
      <c r="B72" s="40" t="s">
        <v>266</v>
      </c>
      <c r="C72" s="433">
        <f>SUM('CCD - Mnthly Bills'!C20)</f>
        <v>1523.3625000000002</v>
      </c>
      <c r="D72" s="430">
        <f t="shared" si="10"/>
        <v>-1523.3625000000002</v>
      </c>
      <c r="E72" s="28" t="s">
        <v>267</v>
      </c>
      <c r="F72" s="431">
        <f t="shared" si="9"/>
        <v>204265.36500000005</v>
      </c>
      <c r="G72" s="302"/>
      <c r="H72" s="589" t="s">
        <v>264</v>
      </c>
      <c r="I72" s="589"/>
      <c r="J72" s="302"/>
      <c r="K72" s="298"/>
      <c r="L72" s="278"/>
      <c r="M72" s="278"/>
      <c r="N72" s="278"/>
      <c r="O72" s="278"/>
      <c r="P72" s="278"/>
      <c r="Q72" s="278"/>
      <c r="R72" s="278"/>
      <c r="S72" s="278"/>
      <c r="T72" s="278"/>
      <c r="U72" s="304"/>
      <c r="V72" s="305"/>
      <c r="W72" s="242">
        <f>SUM(W39)</f>
        <v>104.73750000000001</v>
      </c>
      <c r="X72" s="242"/>
      <c r="Y72" s="242">
        <f>SUM(Y39)</f>
        <v>778.6875</v>
      </c>
      <c r="Z72" s="242"/>
      <c r="AA72" s="242">
        <f>SUM(AA39)</f>
        <v>375</v>
      </c>
      <c r="AB72" s="242"/>
      <c r="AC72" s="242"/>
      <c r="AD72" s="242">
        <f>SUM(AD39)</f>
        <v>90</v>
      </c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>
        <f>SUM(AQ39)</f>
        <v>111.1875</v>
      </c>
      <c r="AR72" s="242">
        <f>SUM(AR39)</f>
        <v>63.75</v>
      </c>
      <c r="AS72" s="242"/>
      <c r="AT72" s="278"/>
      <c r="AU72" s="278"/>
      <c r="AV72" s="278"/>
      <c r="AW72" s="278"/>
      <c r="AX72" s="293"/>
      <c r="AY72" s="304">
        <f t="shared" si="8"/>
        <v>0</v>
      </c>
    </row>
    <row r="73" spans="1:51" s="300" customFormat="1" ht="14.25" customHeight="1" x14ac:dyDescent="0.2">
      <c r="A73" s="290">
        <v>3</v>
      </c>
      <c r="B73" s="432" t="s">
        <v>150</v>
      </c>
      <c r="C73" s="433">
        <v>458.65</v>
      </c>
      <c r="D73" s="430">
        <f t="shared" si="10"/>
        <v>-458.65</v>
      </c>
      <c r="E73" s="28" t="s">
        <v>183</v>
      </c>
      <c r="F73" s="431">
        <f t="shared" si="9"/>
        <v>203806.71500000005</v>
      </c>
      <c r="G73" s="302"/>
      <c r="H73" s="302">
        <v>7910</v>
      </c>
      <c r="I73" s="303">
        <f t="shared" ref="I73:I82" si="11">C73</f>
        <v>458.65</v>
      </c>
      <c r="J73" s="302"/>
      <c r="K73" s="298"/>
      <c r="L73" s="278"/>
      <c r="M73" s="278"/>
      <c r="N73" s="278"/>
      <c r="O73" s="278"/>
      <c r="P73" s="278"/>
      <c r="Q73" s="278"/>
      <c r="R73" s="278"/>
      <c r="S73" s="278"/>
      <c r="T73" s="278"/>
      <c r="U73" s="304"/>
      <c r="V73" s="305">
        <f>SUM(I73)</f>
        <v>458.65</v>
      </c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78"/>
      <c r="AU73" s="278"/>
      <c r="AV73" s="278"/>
      <c r="AW73" s="278"/>
      <c r="AX73" s="293"/>
      <c r="AY73" s="304">
        <f t="shared" si="8"/>
        <v>0</v>
      </c>
    </row>
    <row r="74" spans="1:51" s="300" customFormat="1" ht="14.25" customHeight="1" x14ac:dyDescent="0.2">
      <c r="A74" s="290">
        <v>3</v>
      </c>
      <c r="B74" s="432" t="s">
        <v>279</v>
      </c>
      <c r="C74" s="433">
        <f>SUM('TS 2019_2020 Est Travel'!F40+'TS 2019_2020 Est Travel'!F41+'TS 2019_2020 Est Travel'!F38+'TS 2019_2020 Est Travel'!F35+'TS 2019_2020 Est Travel'!F34+'TS 2019_2020 Est Travel'!F32+'TS 2019_2020 Est Travel'!F31+'TS 2019_2020 Est Travel'!F30)</f>
        <v>2707.6</v>
      </c>
      <c r="D74" s="430">
        <f t="shared" si="10"/>
        <v>-2707.6</v>
      </c>
      <c r="E74" s="28" t="s">
        <v>290</v>
      </c>
      <c r="F74" s="431">
        <f t="shared" si="9"/>
        <v>201099.11500000005</v>
      </c>
      <c r="G74" s="302"/>
      <c r="H74" s="302"/>
      <c r="I74" s="303"/>
      <c r="J74" s="302"/>
      <c r="K74" s="298"/>
      <c r="L74" s="278"/>
      <c r="M74" s="278"/>
      <c r="N74" s="278"/>
      <c r="O74" s="278"/>
      <c r="P74" s="278"/>
      <c r="Q74" s="278"/>
      <c r="R74" s="278"/>
      <c r="S74" s="278"/>
      <c r="T74" s="278"/>
      <c r="U74" s="304"/>
      <c r="V74" s="305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78"/>
      <c r="AU74" s="242">
        <f>SUM(C74)</f>
        <v>2707.6</v>
      </c>
      <c r="AV74" s="242"/>
      <c r="AW74" s="242"/>
      <c r="AX74" s="293"/>
      <c r="AY74" s="304">
        <f t="shared" si="8"/>
        <v>0</v>
      </c>
    </row>
    <row r="75" spans="1:51" s="300" customFormat="1" ht="14.25" customHeight="1" x14ac:dyDescent="0.2">
      <c r="A75" s="290">
        <v>3</v>
      </c>
      <c r="B75" s="432" t="s">
        <v>148</v>
      </c>
      <c r="C75" s="433">
        <v>150</v>
      </c>
      <c r="D75" s="430">
        <f t="shared" si="10"/>
        <v>-150</v>
      </c>
      <c r="E75" s="28" t="s">
        <v>182</v>
      </c>
      <c r="F75" s="431">
        <f t="shared" si="9"/>
        <v>200949.11500000005</v>
      </c>
      <c r="G75" s="302"/>
      <c r="H75" s="302">
        <v>7950</v>
      </c>
      <c r="I75" s="303">
        <f t="shared" si="11"/>
        <v>150</v>
      </c>
      <c r="J75" s="302"/>
      <c r="K75" s="298"/>
      <c r="L75" s="278"/>
      <c r="M75" s="278"/>
      <c r="N75" s="278"/>
      <c r="O75" s="278"/>
      <c r="P75" s="278"/>
      <c r="Q75" s="278"/>
      <c r="R75" s="278"/>
      <c r="S75" s="278"/>
      <c r="T75" s="278"/>
      <c r="U75" s="304"/>
      <c r="V75" s="305"/>
      <c r="W75" s="242">
        <f>SUM(I75)</f>
        <v>150</v>
      </c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78"/>
      <c r="AU75" s="278"/>
      <c r="AV75" s="278"/>
      <c r="AW75" s="278"/>
      <c r="AX75" s="293"/>
      <c r="AY75" s="304">
        <f t="shared" si="8"/>
        <v>0</v>
      </c>
    </row>
    <row r="76" spans="1:51" s="300" customFormat="1" ht="14.25" customHeight="1" x14ac:dyDescent="0.2">
      <c r="A76" s="290">
        <v>3</v>
      </c>
      <c r="B76" s="432" t="s">
        <v>146</v>
      </c>
      <c r="C76" s="433">
        <v>149.99</v>
      </c>
      <c r="D76" s="430">
        <f t="shared" si="10"/>
        <v>-149.99</v>
      </c>
      <c r="E76" s="28">
        <v>43918</v>
      </c>
      <c r="F76" s="431">
        <f t="shared" si="9"/>
        <v>200799.12500000006</v>
      </c>
      <c r="G76" s="302"/>
      <c r="H76" s="302">
        <v>7950</v>
      </c>
      <c r="I76" s="303">
        <f t="shared" si="11"/>
        <v>149.99</v>
      </c>
      <c r="J76" s="302"/>
      <c r="K76" s="298"/>
      <c r="L76" s="278"/>
      <c r="M76" s="278"/>
      <c r="N76" s="278"/>
      <c r="O76" s="278"/>
      <c r="P76" s="278"/>
      <c r="Q76" s="278"/>
      <c r="R76" s="278"/>
      <c r="S76" s="278"/>
      <c r="T76" s="278"/>
      <c r="U76" s="304"/>
      <c r="V76" s="305"/>
      <c r="W76" s="242">
        <f>SUM(I76)</f>
        <v>149.99</v>
      </c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78"/>
      <c r="AU76" s="278"/>
      <c r="AV76" s="278"/>
      <c r="AW76" s="278"/>
      <c r="AX76" s="293"/>
      <c r="AY76" s="304">
        <f t="shared" si="8"/>
        <v>0</v>
      </c>
    </row>
    <row r="77" spans="1:51" s="300" customFormat="1" ht="14.25" customHeight="1" x14ac:dyDescent="0.2">
      <c r="A77" s="290">
        <v>3</v>
      </c>
      <c r="B77" s="432" t="s">
        <v>144</v>
      </c>
      <c r="C77" s="433">
        <v>300</v>
      </c>
      <c r="D77" s="430">
        <f t="shared" si="10"/>
        <v>-300</v>
      </c>
      <c r="E77" s="28" t="s">
        <v>181</v>
      </c>
      <c r="F77" s="431">
        <f t="shared" si="9"/>
        <v>200499.12500000006</v>
      </c>
      <c r="G77" s="302"/>
      <c r="H77" s="302">
        <v>7950</v>
      </c>
      <c r="I77" s="303">
        <f t="shared" si="11"/>
        <v>300</v>
      </c>
      <c r="J77" s="302"/>
      <c r="K77" s="298"/>
      <c r="L77" s="278"/>
      <c r="M77" s="278"/>
      <c r="N77" s="278"/>
      <c r="O77" s="278"/>
      <c r="P77" s="278"/>
      <c r="Q77" s="278"/>
      <c r="R77" s="278"/>
      <c r="S77" s="278"/>
      <c r="T77" s="278"/>
      <c r="U77" s="304"/>
      <c r="V77" s="305"/>
      <c r="W77" s="242">
        <f>SUM(I77)</f>
        <v>300</v>
      </c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78"/>
      <c r="AU77" s="278"/>
      <c r="AV77" s="278"/>
      <c r="AW77" s="278"/>
      <c r="AX77" s="293"/>
      <c r="AY77" s="304">
        <f t="shared" si="8"/>
        <v>0</v>
      </c>
    </row>
    <row r="78" spans="1:51" s="300" customFormat="1" ht="14.25" customHeight="1" x14ac:dyDescent="0.2">
      <c r="A78" s="290">
        <v>3</v>
      </c>
      <c r="B78" s="40" t="s">
        <v>143</v>
      </c>
      <c r="C78" s="433">
        <v>75</v>
      </c>
      <c r="D78" s="430">
        <f t="shared" si="10"/>
        <v>-75</v>
      </c>
      <c r="E78" s="28" t="s">
        <v>181</v>
      </c>
      <c r="F78" s="431">
        <f t="shared" si="9"/>
        <v>200424.12500000006</v>
      </c>
      <c r="G78" s="302"/>
      <c r="H78" s="302">
        <v>7950</v>
      </c>
      <c r="I78" s="303">
        <f t="shared" si="11"/>
        <v>75</v>
      </c>
      <c r="J78" s="302"/>
      <c r="K78" s="298"/>
      <c r="L78" s="278"/>
      <c r="M78" s="278"/>
      <c r="N78" s="278"/>
      <c r="O78" s="278"/>
      <c r="P78" s="278"/>
      <c r="Q78" s="278"/>
      <c r="R78" s="278"/>
      <c r="S78" s="278"/>
      <c r="T78" s="278"/>
      <c r="U78" s="304"/>
      <c r="V78" s="305"/>
      <c r="W78" s="242">
        <f>SUM(I78)</f>
        <v>75</v>
      </c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78"/>
      <c r="AU78" s="278"/>
      <c r="AV78" s="278"/>
      <c r="AW78" s="278"/>
      <c r="AX78" s="293"/>
      <c r="AY78" s="304">
        <f t="shared" si="8"/>
        <v>0</v>
      </c>
    </row>
    <row r="79" spans="1:51" s="300" customFormat="1" ht="14.25" customHeight="1" x14ac:dyDescent="0.2">
      <c r="A79" s="290">
        <v>3</v>
      </c>
      <c r="B79" s="432" t="s">
        <v>142</v>
      </c>
      <c r="C79" s="433">
        <v>2500</v>
      </c>
      <c r="D79" s="430">
        <f t="shared" si="10"/>
        <v>-2500</v>
      </c>
      <c r="E79" s="28">
        <v>43921</v>
      </c>
      <c r="F79" s="431">
        <f t="shared" si="9"/>
        <v>197924.12500000006</v>
      </c>
      <c r="G79" s="302"/>
      <c r="H79" s="302">
        <v>5710</v>
      </c>
      <c r="I79" s="303">
        <f t="shared" si="11"/>
        <v>2500</v>
      </c>
      <c r="J79" s="302"/>
      <c r="K79" s="298"/>
      <c r="L79" s="278"/>
      <c r="M79" s="278"/>
      <c r="N79" s="278"/>
      <c r="O79" s="278"/>
      <c r="P79" s="278"/>
      <c r="Q79" s="278"/>
      <c r="R79" s="278"/>
      <c r="S79" s="278"/>
      <c r="T79" s="278"/>
      <c r="U79" s="304"/>
      <c r="V79" s="305"/>
      <c r="W79" s="242"/>
      <c r="X79" s="242"/>
      <c r="Y79" s="278"/>
      <c r="Z79" s="242">
        <f>SUM(I79)</f>
        <v>2500</v>
      </c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78"/>
      <c r="AU79" s="278"/>
      <c r="AV79" s="278"/>
      <c r="AW79" s="278"/>
      <c r="AX79" s="293"/>
      <c r="AY79" s="304">
        <f t="shared" si="8"/>
        <v>0</v>
      </c>
    </row>
    <row r="80" spans="1:51" s="300" customFormat="1" ht="14.25" customHeight="1" x14ac:dyDescent="0.2">
      <c r="A80" s="290">
        <v>3</v>
      </c>
      <c r="B80" s="432" t="s">
        <v>141</v>
      </c>
      <c r="C80" s="433">
        <v>1080</v>
      </c>
      <c r="D80" s="430">
        <f t="shared" si="10"/>
        <v>-1080</v>
      </c>
      <c r="E80" s="28">
        <v>43921</v>
      </c>
      <c r="F80" s="431">
        <f t="shared" si="9"/>
        <v>196844.12500000006</v>
      </c>
      <c r="G80" s="302"/>
      <c r="H80" s="302">
        <v>6730</v>
      </c>
      <c r="I80" s="303">
        <f t="shared" si="11"/>
        <v>1080</v>
      </c>
      <c r="J80" s="302"/>
      <c r="K80" s="298"/>
      <c r="L80" s="278"/>
      <c r="M80" s="278"/>
      <c r="N80" s="278"/>
      <c r="O80" s="278"/>
      <c r="P80" s="278"/>
      <c r="Q80" s="278"/>
      <c r="R80" s="278"/>
      <c r="S80" s="278"/>
      <c r="T80" s="278"/>
      <c r="U80" s="304"/>
      <c r="V80" s="305"/>
      <c r="W80" s="242"/>
      <c r="X80" s="242">
        <f>SUM(I80)</f>
        <v>1080</v>
      </c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78"/>
      <c r="AU80" s="278"/>
      <c r="AV80" s="278"/>
      <c r="AW80" s="278"/>
      <c r="AX80" s="293"/>
      <c r="AY80" s="304">
        <f t="shared" si="8"/>
        <v>0</v>
      </c>
    </row>
    <row r="81" spans="1:51" s="300" customFormat="1" ht="14.25" customHeight="1" x14ac:dyDescent="0.2">
      <c r="A81" s="290">
        <v>3</v>
      </c>
      <c r="B81" s="432" t="s">
        <v>139</v>
      </c>
      <c r="C81" s="433">
        <v>750</v>
      </c>
      <c r="D81" s="430">
        <f t="shared" si="10"/>
        <v>-750</v>
      </c>
      <c r="E81" s="28" t="s">
        <v>181</v>
      </c>
      <c r="F81" s="431">
        <f t="shared" si="9"/>
        <v>196094.12500000006</v>
      </c>
      <c r="G81" s="302"/>
      <c r="H81" s="302">
        <v>7010</v>
      </c>
      <c r="I81" s="303">
        <f t="shared" si="11"/>
        <v>750</v>
      </c>
      <c r="J81" s="302"/>
      <c r="K81" s="298"/>
      <c r="L81" s="278"/>
      <c r="M81" s="278"/>
      <c r="N81" s="278"/>
      <c r="O81" s="278"/>
      <c r="P81" s="278"/>
      <c r="Q81" s="278"/>
      <c r="R81" s="278"/>
      <c r="S81" s="278"/>
      <c r="T81" s="278"/>
      <c r="U81" s="304"/>
      <c r="V81" s="305"/>
      <c r="W81" s="278"/>
      <c r="X81" s="242"/>
      <c r="Y81" s="278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78"/>
      <c r="AU81" s="278"/>
      <c r="AV81" s="278"/>
      <c r="AW81" s="242">
        <f>SUM(I81)</f>
        <v>750</v>
      </c>
      <c r="AX81" s="293"/>
      <c r="AY81" s="304">
        <f t="shared" ref="AY81:AY150" si="12">SUM(U81:AX81)-C81</f>
        <v>0</v>
      </c>
    </row>
    <row r="82" spans="1:51" s="300" customFormat="1" ht="14.25" customHeight="1" thickBot="1" x14ac:dyDescent="0.25">
      <c r="A82" s="290">
        <v>3</v>
      </c>
      <c r="B82" s="432" t="s">
        <v>178</v>
      </c>
      <c r="C82" s="433">
        <v>24882.35</v>
      </c>
      <c r="D82" s="430">
        <f t="shared" si="10"/>
        <v>-24882.35</v>
      </c>
      <c r="E82" s="28" t="s">
        <v>180</v>
      </c>
      <c r="F82" s="431">
        <f t="shared" si="9"/>
        <v>171211.77500000005</v>
      </c>
      <c r="G82" s="302"/>
      <c r="H82" s="302">
        <v>5130</v>
      </c>
      <c r="I82" s="303">
        <f t="shared" si="11"/>
        <v>24882.35</v>
      </c>
      <c r="J82" s="302"/>
      <c r="K82" s="298"/>
      <c r="L82" s="278"/>
      <c r="M82" s="278"/>
      <c r="N82" s="278"/>
      <c r="O82" s="278"/>
      <c r="P82" s="278"/>
      <c r="Q82" s="278"/>
      <c r="R82" s="278"/>
      <c r="S82" s="278"/>
      <c r="T82" s="278"/>
      <c r="U82" s="307"/>
      <c r="V82" s="308"/>
      <c r="W82" s="308"/>
      <c r="X82" s="308"/>
      <c r="Y82" s="308"/>
      <c r="Z82" s="308"/>
      <c r="AA82" s="308">
        <f>SUM(I82)</f>
        <v>24882.35</v>
      </c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9"/>
      <c r="AU82" s="309"/>
      <c r="AV82" s="309"/>
      <c r="AW82" s="309"/>
      <c r="AX82" s="309"/>
      <c r="AY82" s="307">
        <f t="shared" si="12"/>
        <v>0</v>
      </c>
    </row>
    <row r="83" spans="1:51" s="300" customFormat="1" ht="14.25" customHeight="1" x14ac:dyDescent="0.2">
      <c r="A83" s="290"/>
      <c r="B83" s="432"/>
      <c r="C83" s="433"/>
      <c r="D83" s="430"/>
      <c r="E83" s="463" t="s">
        <v>284</v>
      </c>
      <c r="F83" s="431">
        <f t="shared" si="9"/>
        <v>171211.77500000005</v>
      </c>
      <c r="G83" s="302"/>
      <c r="H83" s="302"/>
      <c r="I83" s="303"/>
      <c r="J83" s="302"/>
      <c r="K83" s="298"/>
      <c r="L83" s="278"/>
      <c r="M83" s="278"/>
      <c r="N83" s="278"/>
      <c r="O83" s="278"/>
      <c r="P83" s="278"/>
      <c r="Q83" s="278"/>
      <c r="R83" s="278"/>
      <c r="S83" s="278"/>
      <c r="T83" s="278"/>
      <c r="U83" s="310">
        <f>SUM(U52:U82)</f>
        <v>294.95</v>
      </c>
      <c r="V83" s="311">
        <f>SUM(V52:V82)</f>
        <v>708.65</v>
      </c>
      <c r="W83" s="311">
        <f t="shared" ref="W83:AX83" si="13">SUM(W52:W82)</f>
        <v>779.72749999999996</v>
      </c>
      <c r="X83" s="311">
        <f t="shared" si="13"/>
        <v>1080</v>
      </c>
      <c r="Y83" s="311">
        <f t="shared" si="13"/>
        <v>778.6875</v>
      </c>
      <c r="Z83" s="311">
        <f t="shared" si="13"/>
        <v>2500</v>
      </c>
      <c r="AA83" s="311">
        <f t="shared" si="13"/>
        <v>25257.35</v>
      </c>
      <c r="AB83" s="311">
        <f t="shared" si="13"/>
        <v>7500</v>
      </c>
      <c r="AC83" s="311">
        <f t="shared" si="13"/>
        <v>2350</v>
      </c>
      <c r="AD83" s="311">
        <f t="shared" si="13"/>
        <v>1674</v>
      </c>
      <c r="AE83" s="311">
        <f t="shared" si="13"/>
        <v>8333</v>
      </c>
      <c r="AF83" s="311">
        <f t="shared" si="13"/>
        <v>150</v>
      </c>
      <c r="AG83" s="311">
        <f t="shared" si="13"/>
        <v>2750</v>
      </c>
      <c r="AH83" s="311">
        <f t="shared" si="13"/>
        <v>27200</v>
      </c>
      <c r="AI83" s="311">
        <f t="shared" si="13"/>
        <v>2000</v>
      </c>
      <c r="AJ83" s="311">
        <f t="shared" si="13"/>
        <v>4000</v>
      </c>
      <c r="AK83" s="311">
        <f t="shared" si="13"/>
        <v>250</v>
      </c>
      <c r="AL83" s="311">
        <f t="shared" si="13"/>
        <v>0</v>
      </c>
      <c r="AM83" s="311">
        <f t="shared" si="13"/>
        <v>200</v>
      </c>
      <c r="AN83" s="311">
        <f t="shared" si="13"/>
        <v>625</v>
      </c>
      <c r="AO83" s="311">
        <f t="shared" si="13"/>
        <v>0</v>
      </c>
      <c r="AP83" s="311">
        <f t="shared" si="13"/>
        <v>1833.35</v>
      </c>
      <c r="AQ83" s="311">
        <f t="shared" si="13"/>
        <v>111.1875</v>
      </c>
      <c r="AR83" s="311">
        <f t="shared" si="13"/>
        <v>63.75</v>
      </c>
      <c r="AS83" s="311">
        <f t="shared" si="13"/>
        <v>0</v>
      </c>
      <c r="AT83" s="311">
        <f t="shared" si="13"/>
        <v>0</v>
      </c>
      <c r="AU83" s="311">
        <f t="shared" si="13"/>
        <v>2707.6</v>
      </c>
      <c r="AV83" s="311">
        <f t="shared" si="13"/>
        <v>4500</v>
      </c>
      <c r="AW83" s="311">
        <f t="shared" si="13"/>
        <v>750</v>
      </c>
      <c r="AX83" s="311">
        <f t="shared" si="13"/>
        <v>1750</v>
      </c>
      <c r="AY83" s="304"/>
    </row>
    <row r="84" spans="1:51" s="300" customFormat="1" ht="14.25" customHeight="1" x14ac:dyDescent="0.2">
      <c r="A84" s="290"/>
      <c r="B84" s="432"/>
      <c r="C84" s="433"/>
      <c r="D84" s="430"/>
      <c r="E84" s="28"/>
      <c r="F84" s="431">
        <f t="shared" si="9"/>
        <v>171211.77500000005</v>
      </c>
      <c r="G84" s="302"/>
      <c r="H84" s="302"/>
      <c r="I84" s="303"/>
      <c r="J84" s="302"/>
      <c r="K84" s="298"/>
      <c r="L84" s="278"/>
      <c r="M84" s="278"/>
      <c r="N84" s="278"/>
      <c r="O84" s="278"/>
      <c r="P84" s="278"/>
      <c r="Q84" s="278"/>
      <c r="R84" s="278"/>
      <c r="S84" s="278"/>
      <c r="T84" s="278"/>
      <c r="U84" s="304"/>
      <c r="V84" s="305"/>
      <c r="W84" s="242"/>
      <c r="X84" s="242"/>
      <c r="Y84" s="242"/>
      <c r="Z84" s="242"/>
      <c r="AA84" s="242"/>
      <c r="AB84" s="242"/>
      <c r="AC84" s="242"/>
      <c r="AD84" s="242"/>
      <c r="AE84" s="242"/>
      <c r="AF84" s="242"/>
      <c r="AG84" s="242"/>
      <c r="AH84" s="242"/>
      <c r="AI84" s="242"/>
      <c r="AJ84" s="242"/>
      <c r="AK84" s="242"/>
      <c r="AL84" s="242"/>
      <c r="AM84" s="242"/>
      <c r="AN84" s="242"/>
      <c r="AO84" s="242"/>
      <c r="AP84" s="242"/>
      <c r="AQ84" s="242"/>
      <c r="AR84" s="242"/>
      <c r="AS84" s="242"/>
      <c r="AT84" s="278"/>
      <c r="AU84" s="278"/>
      <c r="AV84" s="278"/>
      <c r="AW84" s="278"/>
      <c r="AX84" s="293"/>
      <c r="AY84" s="304"/>
    </row>
    <row r="85" spans="1:51" s="300" customFormat="1" ht="14.25" customHeight="1" x14ac:dyDescent="0.2">
      <c r="A85" s="290">
        <v>4</v>
      </c>
      <c r="B85" s="432" t="s">
        <v>177</v>
      </c>
      <c r="C85" s="433">
        <v>2000</v>
      </c>
      <c r="D85" s="430">
        <f t="shared" si="10"/>
        <v>-2000</v>
      </c>
      <c r="E85" s="28" t="s">
        <v>170</v>
      </c>
      <c r="F85" s="431">
        <f t="shared" si="9"/>
        <v>169211.77500000005</v>
      </c>
      <c r="G85" s="302"/>
      <c r="H85" s="302"/>
      <c r="I85" s="303"/>
      <c r="J85" s="302"/>
      <c r="K85" s="298"/>
      <c r="L85" s="278"/>
      <c r="M85" s="278"/>
      <c r="N85" s="278"/>
      <c r="O85" s="278"/>
      <c r="P85" s="278"/>
      <c r="Q85" s="278"/>
      <c r="R85" s="278"/>
      <c r="S85" s="278"/>
      <c r="T85" s="278"/>
      <c r="U85" s="304"/>
      <c r="V85" s="305">
        <v>250</v>
      </c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K85" s="242"/>
      <c r="AL85" s="242"/>
      <c r="AM85" s="242"/>
      <c r="AN85" s="242"/>
      <c r="AO85" s="242"/>
      <c r="AP85" s="242"/>
      <c r="AQ85" s="242"/>
      <c r="AR85" s="242"/>
      <c r="AS85" s="242"/>
      <c r="AT85" s="278"/>
      <c r="AU85" s="278"/>
      <c r="AV85" s="278"/>
      <c r="AW85" s="278"/>
      <c r="AX85" s="305">
        <v>1750</v>
      </c>
      <c r="AY85" s="304">
        <f t="shared" si="12"/>
        <v>0</v>
      </c>
    </row>
    <row r="86" spans="1:51" s="300" customFormat="1" ht="14.25" customHeight="1" x14ac:dyDescent="0.2">
      <c r="A86" s="290">
        <v>4</v>
      </c>
      <c r="B86" s="432" t="s">
        <v>176</v>
      </c>
      <c r="C86" s="433">
        <v>7500</v>
      </c>
      <c r="D86" s="430">
        <f t="shared" si="10"/>
        <v>-7500</v>
      </c>
      <c r="E86" s="28" t="s">
        <v>170</v>
      </c>
      <c r="F86" s="431">
        <f t="shared" si="9"/>
        <v>161711.77500000005</v>
      </c>
      <c r="G86" s="302"/>
      <c r="H86" s="302">
        <v>5510</v>
      </c>
      <c r="I86" s="303">
        <f>C86</f>
        <v>7500</v>
      </c>
      <c r="J86" s="302"/>
      <c r="K86" s="298"/>
      <c r="L86" s="278"/>
      <c r="M86" s="278"/>
      <c r="N86" s="278"/>
      <c r="O86" s="278"/>
      <c r="P86" s="278"/>
      <c r="Q86" s="278"/>
      <c r="R86" s="278"/>
      <c r="S86" s="278"/>
      <c r="T86" s="278"/>
      <c r="U86" s="304"/>
      <c r="V86" s="305"/>
      <c r="W86" s="242"/>
      <c r="X86" s="242"/>
      <c r="Y86" s="242"/>
      <c r="Z86" s="242"/>
      <c r="AA86" s="242"/>
      <c r="AB86" s="242">
        <f>SUM(I86)</f>
        <v>7500</v>
      </c>
      <c r="AC86" s="242"/>
      <c r="AD86" s="242"/>
      <c r="AE86" s="242"/>
      <c r="AF86" s="242"/>
      <c r="AG86" s="242"/>
      <c r="AH86" s="242"/>
      <c r="AI86" s="242"/>
      <c r="AJ86" s="242"/>
      <c r="AK86" s="242"/>
      <c r="AL86" s="242"/>
      <c r="AM86" s="242"/>
      <c r="AN86" s="242"/>
      <c r="AO86" s="242"/>
      <c r="AP86" s="242"/>
      <c r="AQ86" s="242"/>
      <c r="AR86" s="242"/>
      <c r="AS86" s="242"/>
      <c r="AT86" s="278"/>
      <c r="AU86" s="278"/>
      <c r="AV86" s="278"/>
      <c r="AW86" s="278"/>
      <c r="AX86" s="293"/>
      <c r="AY86" s="304">
        <f t="shared" si="12"/>
        <v>0</v>
      </c>
    </row>
    <row r="87" spans="1:51" s="300" customFormat="1" ht="14.25" customHeight="1" x14ac:dyDescent="0.2">
      <c r="A87" s="290">
        <v>4</v>
      </c>
      <c r="B87" s="432" t="s">
        <v>175</v>
      </c>
      <c r="C87" s="433">
        <v>550</v>
      </c>
      <c r="D87" s="430">
        <f t="shared" si="10"/>
        <v>-550</v>
      </c>
      <c r="E87" s="28" t="s">
        <v>170</v>
      </c>
      <c r="F87" s="431">
        <f t="shared" si="9"/>
        <v>161161.77500000005</v>
      </c>
      <c r="G87" s="302"/>
      <c r="H87" s="302">
        <v>7650</v>
      </c>
      <c r="I87" s="303">
        <f>C87</f>
        <v>550</v>
      </c>
      <c r="J87" s="302"/>
      <c r="K87" s="298"/>
      <c r="L87" s="278"/>
      <c r="M87" s="278"/>
      <c r="N87" s="278"/>
      <c r="O87" s="278"/>
      <c r="P87" s="278"/>
      <c r="Q87" s="278"/>
      <c r="R87" s="278"/>
      <c r="S87" s="278"/>
      <c r="T87" s="278"/>
      <c r="U87" s="304"/>
      <c r="V87" s="305"/>
      <c r="W87" s="242"/>
      <c r="X87" s="242"/>
      <c r="Y87" s="242"/>
      <c r="Z87" s="242"/>
      <c r="AA87" s="242"/>
      <c r="AB87" s="242"/>
      <c r="AC87" s="242">
        <f>SUM(I87)</f>
        <v>550</v>
      </c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  <c r="AR87" s="242"/>
      <c r="AS87" s="242"/>
      <c r="AT87" s="278"/>
      <c r="AU87" s="278"/>
      <c r="AV87" s="278"/>
      <c r="AW87" s="278"/>
      <c r="AX87" s="293"/>
      <c r="AY87" s="304">
        <f t="shared" si="12"/>
        <v>0</v>
      </c>
    </row>
    <row r="88" spans="1:51" s="300" customFormat="1" ht="14.25" customHeight="1" x14ac:dyDescent="0.2">
      <c r="A88" s="290">
        <v>4</v>
      </c>
      <c r="B88" s="432" t="s">
        <v>174</v>
      </c>
      <c r="C88" s="433">
        <v>1800</v>
      </c>
      <c r="D88" s="430">
        <f t="shared" si="10"/>
        <v>-1800</v>
      </c>
      <c r="E88" s="28" t="s">
        <v>173</v>
      </c>
      <c r="F88" s="431">
        <f t="shared" si="9"/>
        <v>159361.77500000005</v>
      </c>
      <c r="G88" s="302"/>
      <c r="H88" s="302">
        <v>7650</v>
      </c>
      <c r="I88" s="303">
        <f>C88</f>
        <v>1800</v>
      </c>
      <c r="J88" s="302"/>
      <c r="K88" s="298"/>
      <c r="L88" s="278"/>
      <c r="M88" s="278"/>
      <c r="N88" s="278"/>
      <c r="O88" s="278"/>
      <c r="P88" s="278"/>
      <c r="Q88" s="278"/>
      <c r="R88" s="278"/>
      <c r="S88" s="278"/>
      <c r="T88" s="278"/>
      <c r="U88" s="304"/>
      <c r="V88" s="305"/>
      <c r="W88" s="242"/>
      <c r="X88" s="242"/>
      <c r="Y88" s="242"/>
      <c r="Z88" s="242"/>
      <c r="AA88" s="242"/>
      <c r="AB88" s="242"/>
      <c r="AC88" s="242">
        <f>SUM(I88)</f>
        <v>1800</v>
      </c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  <c r="AR88" s="242"/>
      <c r="AS88" s="242"/>
      <c r="AT88" s="278"/>
      <c r="AU88" s="278"/>
      <c r="AV88" s="278"/>
      <c r="AW88" s="278"/>
      <c r="AX88" s="293"/>
      <c r="AY88" s="304">
        <f t="shared" si="12"/>
        <v>0</v>
      </c>
    </row>
    <row r="89" spans="1:51" s="300" customFormat="1" ht="14.25" customHeight="1" x14ac:dyDescent="0.2">
      <c r="A89" s="290">
        <v>4</v>
      </c>
      <c r="B89" s="432" t="s">
        <v>172</v>
      </c>
      <c r="C89" s="433">
        <v>9917</v>
      </c>
      <c r="D89" s="430">
        <f t="shared" si="10"/>
        <v>-9917</v>
      </c>
      <c r="E89" s="28" t="s">
        <v>170</v>
      </c>
      <c r="F89" s="431">
        <f t="shared" si="9"/>
        <v>149444.77500000005</v>
      </c>
      <c r="G89" s="302"/>
      <c r="H89" s="302">
        <v>5750</v>
      </c>
      <c r="I89" s="313">
        <v>1584</v>
      </c>
      <c r="J89" s="302">
        <v>5520</v>
      </c>
      <c r="K89" s="298">
        <v>8333</v>
      </c>
      <c r="L89" s="278"/>
      <c r="M89" s="278"/>
      <c r="N89" s="278"/>
      <c r="O89" s="278"/>
      <c r="P89" s="278"/>
      <c r="Q89" s="278"/>
      <c r="R89" s="278"/>
      <c r="S89" s="278"/>
      <c r="T89" s="278"/>
      <c r="U89" s="304"/>
      <c r="V89" s="305"/>
      <c r="W89" s="242"/>
      <c r="X89" s="242"/>
      <c r="Y89" s="242"/>
      <c r="Z89" s="242"/>
      <c r="AA89" s="242"/>
      <c r="AB89" s="242"/>
      <c r="AC89" s="242"/>
      <c r="AD89" s="242">
        <f>SUM(I89)</f>
        <v>1584</v>
      </c>
      <c r="AE89" s="242">
        <f>SUM(K89)</f>
        <v>8333</v>
      </c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  <c r="AR89" s="242"/>
      <c r="AS89" s="242"/>
      <c r="AT89" s="278"/>
      <c r="AU89" s="278"/>
      <c r="AV89" s="278"/>
      <c r="AW89" s="278"/>
      <c r="AX89" s="293"/>
      <c r="AY89" s="304">
        <f t="shared" si="12"/>
        <v>0</v>
      </c>
    </row>
    <row r="90" spans="1:51" s="300" customFormat="1" ht="14.25" customHeight="1" x14ac:dyDescent="0.2">
      <c r="A90" s="290">
        <v>4</v>
      </c>
      <c r="B90" s="432" t="s">
        <v>171</v>
      </c>
      <c r="C90" s="433">
        <v>34.950000000000003</v>
      </c>
      <c r="D90" s="430">
        <f t="shared" si="10"/>
        <v>-34.950000000000003</v>
      </c>
      <c r="E90" s="28" t="s">
        <v>170</v>
      </c>
      <c r="F90" s="431">
        <f t="shared" si="9"/>
        <v>149409.82500000004</v>
      </c>
      <c r="G90" s="302"/>
      <c r="H90" s="302">
        <v>7850</v>
      </c>
      <c r="I90" s="303">
        <f>C90</f>
        <v>34.950000000000003</v>
      </c>
      <c r="J90" s="302"/>
      <c r="K90" s="298"/>
      <c r="L90" s="278"/>
      <c r="M90" s="278"/>
      <c r="N90" s="278"/>
      <c r="O90" s="278"/>
      <c r="P90" s="278"/>
      <c r="Q90" s="278"/>
      <c r="R90" s="278"/>
      <c r="S90" s="278"/>
      <c r="T90" s="278"/>
      <c r="U90" s="304">
        <f>SUM(I90)</f>
        <v>34.950000000000003</v>
      </c>
      <c r="V90" s="305"/>
      <c r="W90" s="242"/>
      <c r="X90" s="242"/>
      <c r="Y90" s="242"/>
      <c r="Z90" s="242"/>
      <c r="AA90" s="242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  <c r="AR90" s="242"/>
      <c r="AS90" s="242"/>
      <c r="AT90" s="278"/>
      <c r="AU90" s="278"/>
      <c r="AV90" s="278"/>
      <c r="AW90" s="278"/>
      <c r="AX90" s="293"/>
      <c r="AY90" s="304">
        <f t="shared" si="12"/>
        <v>0</v>
      </c>
    </row>
    <row r="91" spans="1:51" s="300" customFormat="1" ht="14.25" customHeight="1" x14ac:dyDescent="0.2">
      <c r="A91" s="290">
        <v>4</v>
      </c>
      <c r="B91" s="432" t="s">
        <v>169</v>
      </c>
      <c r="C91" s="433">
        <v>150</v>
      </c>
      <c r="D91" s="430">
        <f t="shared" si="10"/>
        <v>-150</v>
      </c>
      <c r="E91" s="28" t="s">
        <v>168</v>
      </c>
      <c r="F91" s="431">
        <f t="shared" si="9"/>
        <v>149259.82500000004</v>
      </c>
      <c r="G91" s="302"/>
      <c r="H91" s="302">
        <v>7090</v>
      </c>
      <c r="I91" s="303">
        <f>C91</f>
        <v>150</v>
      </c>
      <c r="J91" s="302"/>
      <c r="K91" s="298"/>
      <c r="L91" s="278"/>
      <c r="M91" s="278"/>
      <c r="N91" s="278"/>
      <c r="O91" s="278"/>
      <c r="P91" s="278"/>
      <c r="Q91" s="278"/>
      <c r="R91" s="278"/>
      <c r="S91" s="278"/>
      <c r="T91" s="278"/>
      <c r="U91" s="304"/>
      <c r="V91" s="305"/>
      <c r="W91" s="242"/>
      <c r="X91" s="242"/>
      <c r="Y91" s="242"/>
      <c r="Z91" s="242"/>
      <c r="AA91" s="242"/>
      <c r="AB91" s="242"/>
      <c r="AC91" s="242"/>
      <c r="AD91" s="242"/>
      <c r="AE91" s="242"/>
      <c r="AF91" s="242">
        <f>SUM(I91)</f>
        <v>150</v>
      </c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  <c r="AR91" s="242"/>
      <c r="AS91" s="242"/>
      <c r="AT91" s="278"/>
      <c r="AU91" s="278"/>
      <c r="AV91" s="278"/>
      <c r="AW91" s="278"/>
      <c r="AX91" s="293"/>
      <c r="AY91" s="304">
        <f t="shared" si="12"/>
        <v>0</v>
      </c>
    </row>
    <row r="92" spans="1:51" s="300" customFormat="1" ht="14.25" customHeight="1" x14ac:dyDescent="0.2">
      <c r="A92" s="290">
        <v>4</v>
      </c>
      <c r="B92" s="432" t="s">
        <v>155</v>
      </c>
      <c r="C92" s="433">
        <f>SUM(C69)</f>
        <v>18100</v>
      </c>
      <c r="D92" s="430">
        <f t="shared" si="10"/>
        <v>-18100</v>
      </c>
      <c r="E92" s="28" t="s">
        <v>167</v>
      </c>
      <c r="F92" s="431">
        <f t="shared" si="9"/>
        <v>131159.82500000004</v>
      </c>
      <c r="G92" s="302"/>
      <c r="H92" s="302">
        <v>8570</v>
      </c>
      <c r="I92" s="313">
        <v>1375</v>
      </c>
      <c r="J92" s="302" t="s">
        <v>207</v>
      </c>
      <c r="K92" s="298" t="s">
        <v>207</v>
      </c>
      <c r="L92" s="278">
        <v>8510</v>
      </c>
      <c r="M92" s="298">
        <v>13600</v>
      </c>
      <c r="N92" s="314">
        <v>8250</v>
      </c>
      <c r="O92" s="298">
        <v>1000</v>
      </c>
      <c r="P92" s="314">
        <v>8530</v>
      </c>
      <c r="Q92" s="315">
        <v>2000</v>
      </c>
      <c r="R92" s="314">
        <v>8590</v>
      </c>
      <c r="S92" s="298">
        <v>125</v>
      </c>
      <c r="T92" s="316">
        <f>SUM(I92+M92+O92+Q92+S92)</f>
        <v>18100</v>
      </c>
      <c r="U92" s="304"/>
      <c r="V92" s="305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42">
        <f>SUM(I92)</f>
        <v>1375</v>
      </c>
      <c r="AH92" s="242">
        <f>SUM(M92)</f>
        <v>13600</v>
      </c>
      <c r="AI92" s="242">
        <f>SUM(O92)</f>
        <v>1000</v>
      </c>
      <c r="AJ92" s="242">
        <f>SUM(Q92)</f>
        <v>2000</v>
      </c>
      <c r="AK92" s="242">
        <f>SUM(S92)</f>
        <v>125</v>
      </c>
      <c r="AL92" s="242"/>
      <c r="AM92" s="242"/>
      <c r="AN92" s="242"/>
      <c r="AO92" s="242"/>
      <c r="AP92" s="242"/>
      <c r="AQ92" s="242"/>
      <c r="AR92" s="242"/>
      <c r="AS92" s="242"/>
      <c r="AT92" s="278"/>
      <c r="AU92" s="278"/>
      <c r="AV92" s="278"/>
      <c r="AW92" s="278"/>
      <c r="AX92" s="293"/>
      <c r="AY92" s="304">
        <f t="shared" si="12"/>
        <v>0</v>
      </c>
    </row>
    <row r="93" spans="1:51" s="300" customFormat="1" ht="14.25" customHeight="1" x14ac:dyDescent="0.2">
      <c r="A93" s="290">
        <v>4</v>
      </c>
      <c r="B93" s="432" t="s">
        <v>153</v>
      </c>
      <c r="C93" s="433">
        <v>100</v>
      </c>
      <c r="D93" s="430">
        <f t="shared" si="10"/>
        <v>-100</v>
      </c>
      <c r="E93" s="28" t="s">
        <v>166</v>
      </c>
      <c r="F93" s="431">
        <f t="shared" si="9"/>
        <v>131059.82500000004</v>
      </c>
      <c r="G93" s="302"/>
      <c r="H93" s="302">
        <v>7850</v>
      </c>
      <c r="I93" s="303">
        <f t="shared" ref="I93:I98" si="14">C93</f>
        <v>100</v>
      </c>
      <c r="J93" s="302"/>
      <c r="K93" s="298"/>
      <c r="L93" s="278"/>
      <c r="M93" s="278"/>
      <c r="N93" s="278"/>
      <c r="O93" s="278"/>
      <c r="P93" s="278"/>
      <c r="Q93" s="278"/>
      <c r="R93" s="278"/>
      <c r="S93" s="278"/>
      <c r="T93" s="278"/>
      <c r="U93" s="304">
        <f>SUM(I93)</f>
        <v>100</v>
      </c>
      <c r="V93" s="305"/>
      <c r="W93" s="242"/>
      <c r="X93" s="242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  <c r="AR93" s="242"/>
      <c r="AS93" s="242"/>
      <c r="AT93" s="278"/>
      <c r="AU93" s="278"/>
      <c r="AV93" s="278"/>
      <c r="AW93" s="278"/>
      <c r="AX93" s="293"/>
      <c r="AY93" s="304">
        <f t="shared" si="12"/>
        <v>0</v>
      </c>
    </row>
    <row r="94" spans="1:51" s="300" customFormat="1" ht="14.25" customHeight="1" x14ac:dyDescent="0.2">
      <c r="A94" s="290">
        <v>4</v>
      </c>
      <c r="B94" s="432" t="s">
        <v>165</v>
      </c>
      <c r="C94" s="433">
        <v>200</v>
      </c>
      <c r="D94" s="430">
        <f t="shared" si="10"/>
        <v>-200</v>
      </c>
      <c r="E94" s="28" t="s">
        <v>161</v>
      </c>
      <c r="F94" s="431">
        <f t="shared" si="9"/>
        <v>130859.82500000004</v>
      </c>
      <c r="G94" s="302"/>
      <c r="H94" s="302">
        <v>6770</v>
      </c>
      <c r="I94" s="303">
        <f t="shared" si="14"/>
        <v>200</v>
      </c>
      <c r="J94" s="302"/>
      <c r="K94" s="298"/>
      <c r="L94" s="278"/>
      <c r="M94" s="278"/>
      <c r="N94" s="278"/>
      <c r="O94" s="278"/>
      <c r="P94" s="278"/>
      <c r="Q94" s="278"/>
      <c r="R94" s="278"/>
      <c r="S94" s="278"/>
      <c r="T94" s="278"/>
      <c r="U94" s="304"/>
      <c r="V94" s="305"/>
      <c r="W94" s="242"/>
      <c r="X94" s="242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>
        <f>SUM(I94)</f>
        <v>200</v>
      </c>
      <c r="AN94" s="242"/>
      <c r="AO94" s="242"/>
      <c r="AP94" s="242"/>
      <c r="AQ94" s="242"/>
      <c r="AR94" s="242"/>
      <c r="AS94" s="242"/>
      <c r="AT94" s="278"/>
      <c r="AU94" s="278"/>
      <c r="AV94" s="278"/>
      <c r="AW94" s="278"/>
      <c r="AX94" s="293"/>
      <c r="AY94" s="304">
        <f t="shared" si="12"/>
        <v>0</v>
      </c>
    </row>
    <row r="95" spans="1:51" s="300" customFormat="1" ht="14.25" customHeight="1" x14ac:dyDescent="0.2">
      <c r="A95" s="290">
        <v>4</v>
      </c>
      <c r="B95" s="40" t="s">
        <v>164</v>
      </c>
      <c r="C95" s="433">
        <v>625</v>
      </c>
      <c r="D95" s="430">
        <f t="shared" si="10"/>
        <v>-625</v>
      </c>
      <c r="E95" s="28" t="s">
        <v>163</v>
      </c>
      <c r="F95" s="431">
        <f t="shared" si="9"/>
        <v>130234.82500000004</v>
      </c>
      <c r="G95" s="302"/>
      <c r="H95" s="302">
        <v>5540</v>
      </c>
      <c r="I95" s="303">
        <f t="shared" si="14"/>
        <v>625</v>
      </c>
      <c r="J95" s="302"/>
      <c r="K95" s="298"/>
      <c r="L95" s="278"/>
      <c r="M95" s="278"/>
      <c r="N95" s="278"/>
      <c r="O95" s="278"/>
      <c r="P95" s="278"/>
      <c r="Q95" s="278"/>
      <c r="R95" s="278"/>
      <c r="S95" s="278"/>
      <c r="T95" s="278"/>
      <c r="U95" s="304"/>
      <c r="V95" s="305"/>
      <c r="W95" s="242"/>
      <c r="X95" s="242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>
        <f>SUM(I95)</f>
        <v>625</v>
      </c>
      <c r="AO95" s="242"/>
      <c r="AP95" s="242"/>
      <c r="AQ95" s="242"/>
      <c r="AR95" s="242"/>
      <c r="AS95" s="242"/>
      <c r="AT95" s="278"/>
      <c r="AU95" s="278"/>
      <c r="AV95" s="278"/>
      <c r="AW95" s="278"/>
      <c r="AX95" s="293"/>
      <c r="AY95" s="304">
        <f t="shared" si="12"/>
        <v>0</v>
      </c>
    </row>
    <row r="96" spans="1:51" s="300" customFormat="1" ht="14.25" customHeight="1" x14ac:dyDescent="0.2">
      <c r="A96" s="290">
        <v>4</v>
      </c>
      <c r="B96" s="432" t="s">
        <v>162</v>
      </c>
      <c r="C96" s="433">
        <v>60</v>
      </c>
      <c r="D96" s="430">
        <f t="shared" si="10"/>
        <v>-60</v>
      </c>
      <c r="E96" s="28" t="s">
        <v>161</v>
      </c>
      <c r="F96" s="431">
        <f t="shared" si="9"/>
        <v>130174.82500000004</v>
      </c>
      <c r="G96" s="302"/>
      <c r="H96" s="302">
        <v>7850</v>
      </c>
      <c r="I96" s="303">
        <f t="shared" si="14"/>
        <v>60</v>
      </c>
      <c r="J96" s="302"/>
      <c r="K96" s="298"/>
      <c r="L96" s="278"/>
      <c r="M96" s="278"/>
      <c r="N96" s="278"/>
      <c r="O96" s="278"/>
      <c r="P96" s="278"/>
      <c r="Q96" s="278"/>
      <c r="R96" s="278"/>
      <c r="S96" s="278"/>
      <c r="T96" s="278"/>
      <c r="U96" s="304">
        <f>SUM(I96)</f>
        <v>60</v>
      </c>
      <c r="V96" s="305"/>
      <c r="W96" s="242"/>
      <c r="X96" s="242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  <c r="AR96" s="242"/>
      <c r="AS96" s="242"/>
      <c r="AT96" s="278"/>
      <c r="AU96" s="278"/>
      <c r="AV96" s="278"/>
      <c r="AW96" s="278"/>
      <c r="AX96" s="293"/>
      <c r="AY96" s="304">
        <f t="shared" si="12"/>
        <v>0</v>
      </c>
    </row>
    <row r="97" spans="1:51" s="300" customFormat="1" ht="14.25" customHeight="1" x14ac:dyDescent="0.2">
      <c r="A97" s="290">
        <v>4</v>
      </c>
      <c r="B97" s="40" t="s">
        <v>369</v>
      </c>
      <c r="C97" s="30">
        <v>1500</v>
      </c>
      <c r="D97" s="430">
        <f t="shared" si="10"/>
        <v>-1500</v>
      </c>
      <c r="E97" s="28">
        <v>43939</v>
      </c>
      <c r="F97" s="431">
        <f t="shared" si="9"/>
        <v>128674.82500000004</v>
      </c>
      <c r="G97" s="306"/>
      <c r="H97" s="302"/>
      <c r="I97" s="303">
        <f t="shared" si="14"/>
        <v>1500</v>
      </c>
      <c r="J97" s="302"/>
      <c r="K97" s="298"/>
      <c r="L97" s="278"/>
      <c r="M97" s="278"/>
      <c r="N97" s="278"/>
      <c r="O97" s="278"/>
      <c r="P97" s="278"/>
      <c r="Q97" s="278"/>
      <c r="R97" s="278"/>
      <c r="S97" s="278"/>
      <c r="T97" s="278"/>
      <c r="U97" s="304"/>
      <c r="V97" s="305"/>
      <c r="W97" s="242"/>
      <c r="X97" s="242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78"/>
      <c r="AP97" s="242"/>
      <c r="AQ97" s="242"/>
      <c r="AR97" s="242"/>
      <c r="AS97" s="242"/>
      <c r="AT97" s="278"/>
      <c r="AU97" s="278"/>
      <c r="AV97" s="278"/>
      <c r="AW97" s="278"/>
      <c r="AX97" s="305">
        <v>1500</v>
      </c>
      <c r="AY97" s="304">
        <f t="shared" si="12"/>
        <v>0</v>
      </c>
    </row>
    <row r="98" spans="1:51" s="300" customFormat="1" ht="14.25" customHeight="1" x14ac:dyDescent="0.2">
      <c r="A98" s="290">
        <v>4</v>
      </c>
      <c r="B98" s="40" t="s">
        <v>160</v>
      </c>
      <c r="C98" s="30">
        <v>1833.35</v>
      </c>
      <c r="D98" s="430">
        <f t="shared" si="10"/>
        <v>-1833.35</v>
      </c>
      <c r="E98" s="28" t="s">
        <v>159</v>
      </c>
      <c r="F98" s="431">
        <f>SUM(F96+D98)</f>
        <v>128341.47500000003</v>
      </c>
      <c r="G98" s="306"/>
      <c r="H98" s="302">
        <v>6590</v>
      </c>
      <c r="I98" s="303">
        <f t="shared" si="14"/>
        <v>1833.35</v>
      </c>
      <c r="J98" s="302"/>
      <c r="K98" s="298"/>
      <c r="L98" s="278"/>
      <c r="M98" s="278"/>
      <c r="N98" s="278"/>
      <c r="O98" s="278"/>
      <c r="P98" s="278"/>
      <c r="Q98" s="278"/>
      <c r="R98" s="278"/>
      <c r="S98" s="278"/>
      <c r="T98" s="278"/>
      <c r="U98" s="304"/>
      <c r="V98" s="305"/>
      <c r="W98" s="242"/>
      <c r="X98" s="242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78"/>
      <c r="AP98" s="242">
        <f>SUM(I98)</f>
        <v>1833.35</v>
      </c>
      <c r="AQ98" s="242"/>
      <c r="AR98" s="242"/>
      <c r="AS98" s="242"/>
      <c r="AT98" s="278"/>
      <c r="AU98" s="278"/>
      <c r="AV98" s="278"/>
      <c r="AW98" s="278"/>
      <c r="AX98" s="293"/>
      <c r="AY98" s="304">
        <f t="shared" si="12"/>
        <v>0</v>
      </c>
    </row>
    <row r="99" spans="1:51" s="300" customFormat="1" ht="14.25" customHeight="1" x14ac:dyDescent="0.2">
      <c r="A99" s="290">
        <v>4</v>
      </c>
      <c r="B99" s="432" t="s">
        <v>155</v>
      </c>
      <c r="C99" s="433">
        <f>SUM(C92)</f>
        <v>18100</v>
      </c>
      <c r="D99" s="430">
        <f t="shared" si="10"/>
        <v>-18100</v>
      </c>
      <c r="E99" s="28" t="s">
        <v>154</v>
      </c>
      <c r="F99" s="431">
        <f t="shared" si="9"/>
        <v>110241.47500000003</v>
      </c>
      <c r="G99" s="302"/>
      <c r="H99" s="302">
        <v>8570</v>
      </c>
      <c r="I99" s="313">
        <v>1375</v>
      </c>
      <c r="J99" s="302" t="s">
        <v>207</v>
      </c>
      <c r="K99" s="298" t="s">
        <v>207</v>
      </c>
      <c r="L99" s="278">
        <v>8510</v>
      </c>
      <c r="M99" s="298">
        <v>13600</v>
      </c>
      <c r="N99" s="314">
        <v>8250</v>
      </c>
      <c r="O99" s="298">
        <v>1000</v>
      </c>
      <c r="P99" s="314">
        <v>8530</v>
      </c>
      <c r="Q99" s="315">
        <v>2000</v>
      </c>
      <c r="R99" s="314">
        <v>8590</v>
      </c>
      <c r="S99" s="298">
        <v>125</v>
      </c>
      <c r="T99" s="316">
        <f>SUM(I99+M99+O99+Q99+S99)</f>
        <v>18100</v>
      </c>
      <c r="U99" s="304"/>
      <c r="V99" s="305"/>
      <c r="W99" s="242"/>
      <c r="X99" s="242"/>
      <c r="Y99" s="242"/>
      <c r="Z99" s="242"/>
      <c r="AA99" s="242"/>
      <c r="AB99" s="242"/>
      <c r="AC99" s="242"/>
      <c r="AD99" s="242"/>
      <c r="AE99" s="242"/>
      <c r="AF99" s="242"/>
      <c r="AG99" s="242">
        <f>SUM(I99)</f>
        <v>1375</v>
      </c>
      <c r="AH99" s="242">
        <f>SUM(M99)</f>
        <v>13600</v>
      </c>
      <c r="AI99" s="242">
        <f>SUM(O99)</f>
        <v>1000</v>
      </c>
      <c r="AJ99" s="242">
        <f>SUM(Q99)</f>
        <v>2000</v>
      </c>
      <c r="AK99" s="242">
        <f>SUM(S99)</f>
        <v>125</v>
      </c>
      <c r="AL99" s="242"/>
      <c r="AM99" s="242"/>
      <c r="AN99" s="242"/>
      <c r="AO99" s="242"/>
      <c r="AP99" s="242"/>
      <c r="AQ99" s="242"/>
      <c r="AR99" s="242"/>
      <c r="AS99" s="242"/>
      <c r="AT99" s="278"/>
      <c r="AU99" s="278"/>
      <c r="AV99" s="278"/>
      <c r="AW99" s="278"/>
      <c r="AX99" s="293"/>
      <c r="AY99" s="304">
        <f t="shared" si="12"/>
        <v>0</v>
      </c>
    </row>
    <row r="100" spans="1:51" s="300" customFormat="1" ht="14.25" customHeight="1" x14ac:dyDescent="0.2">
      <c r="A100" s="290">
        <v>4</v>
      </c>
      <c r="B100" s="432" t="s">
        <v>153</v>
      </c>
      <c r="C100" s="433">
        <v>100</v>
      </c>
      <c r="D100" s="430">
        <f t="shared" si="10"/>
        <v>-100</v>
      </c>
      <c r="E100" s="28" t="s">
        <v>152</v>
      </c>
      <c r="F100" s="431">
        <f t="shared" si="9"/>
        <v>110141.47500000003</v>
      </c>
      <c r="G100" s="302"/>
      <c r="H100" s="302">
        <v>7850</v>
      </c>
      <c r="I100" s="303">
        <f>C100</f>
        <v>100</v>
      </c>
      <c r="J100" s="302"/>
      <c r="K100" s="298"/>
      <c r="L100" s="278"/>
      <c r="M100" s="278"/>
      <c r="N100" s="278"/>
      <c r="O100" s="278"/>
      <c r="P100" s="278"/>
      <c r="Q100" s="278"/>
      <c r="R100" s="278"/>
      <c r="S100" s="278"/>
      <c r="T100" s="278"/>
      <c r="U100" s="304">
        <f>SUM(I100)</f>
        <v>100</v>
      </c>
      <c r="V100" s="305"/>
      <c r="W100" s="242"/>
      <c r="X100" s="242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  <c r="AR100" s="242"/>
      <c r="AS100" s="242"/>
      <c r="AT100" s="278"/>
      <c r="AU100" s="278"/>
      <c r="AV100" s="278"/>
      <c r="AW100" s="278"/>
      <c r="AX100" s="293"/>
      <c r="AY100" s="304">
        <f t="shared" si="12"/>
        <v>0</v>
      </c>
    </row>
    <row r="101" spans="1:51" s="300" customFormat="1" ht="14.25" customHeight="1" x14ac:dyDescent="0.2">
      <c r="A101" s="290">
        <v>4</v>
      </c>
      <c r="B101" s="40" t="s">
        <v>266</v>
      </c>
      <c r="C101" s="433">
        <f>SUM('CCD - Mnthly Bills'!C20)</f>
        <v>1523.3625000000002</v>
      </c>
      <c r="D101" s="430">
        <f t="shared" si="10"/>
        <v>-1523.3625000000002</v>
      </c>
      <c r="E101" s="28" t="s">
        <v>151</v>
      </c>
      <c r="F101" s="431">
        <f t="shared" si="9"/>
        <v>108618.11250000003</v>
      </c>
      <c r="G101" s="302"/>
      <c r="H101" s="589" t="s">
        <v>264</v>
      </c>
      <c r="I101" s="589"/>
      <c r="J101" s="302"/>
      <c r="K101" s="298"/>
      <c r="L101" s="278"/>
      <c r="M101" s="278"/>
      <c r="N101" s="278"/>
      <c r="O101" s="278"/>
      <c r="P101" s="278"/>
      <c r="Q101" s="278"/>
      <c r="R101" s="278"/>
      <c r="S101" s="278"/>
      <c r="T101" s="278"/>
      <c r="U101" s="304"/>
      <c r="V101" s="305"/>
      <c r="W101" s="242">
        <f>SUM(W72)</f>
        <v>104.73750000000001</v>
      </c>
      <c r="X101" s="242"/>
      <c r="Y101" s="242">
        <f>SUM(Y72)</f>
        <v>778.6875</v>
      </c>
      <c r="Z101" s="242"/>
      <c r="AA101" s="242">
        <f>SUM(AA72)</f>
        <v>375</v>
      </c>
      <c r="AB101" s="242"/>
      <c r="AC101" s="242"/>
      <c r="AD101" s="242">
        <f>SUM(AD72)</f>
        <v>90</v>
      </c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>
        <f>SUM(AQ72)</f>
        <v>111.1875</v>
      </c>
      <c r="AR101" s="242">
        <f>SUM(AR72)</f>
        <v>63.75</v>
      </c>
      <c r="AS101" s="242"/>
      <c r="AT101" s="278"/>
      <c r="AU101" s="278"/>
      <c r="AV101" s="278"/>
      <c r="AW101" s="278"/>
      <c r="AX101" s="293"/>
      <c r="AY101" s="304">
        <f t="shared" si="12"/>
        <v>0</v>
      </c>
    </row>
    <row r="102" spans="1:51" s="300" customFormat="1" ht="14.25" customHeight="1" x14ac:dyDescent="0.2">
      <c r="A102" s="290">
        <v>4</v>
      </c>
      <c r="B102" s="432" t="s">
        <v>150</v>
      </c>
      <c r="C102" s="433">
        <v>458.65</v>
      </c>
      <c r="D102" s="430">
        <f t="shared" si="10"/>
        <v>-458.65</v>
      </c>
      <c r="E102" s="28" t="s">
        <v>149</v>
      </c>
      <c r="F102" s="431">
        <f t="shared" si="9"/>
        <v>108159.46250000004</v>
      </c>
      <c r="G102" s="302"/>
      <c r="H102" s="302">
        <v>7910</v>
      </c>
      <c r="I102" s="303">
        <f>C102</f>
        <v>458.65</v>
      </c>
      <c r="J102" s="302"/>
      <c r="K102" s="298"/>
      <c r="L102" s="278"/>
      <c r="M102" s="278"/>
      <c r="N102" s="278"/>
      <c r="O102" s="278"/>
      <c r="P102" s="278"/>
      <c r="Q102" s="278"/>
      <c r="R102" s="278"/>
      <c r="S102" s="278"/>
      <c r="T102" s="278"/>
      <c r="U102" s="304"/>
      <c r="V102" s="305">
        <f>SUM(I102)</f>
        <v>458.65</v>
      </c>
      <c r="W102" s="242"/>
      <c r="X102" s="242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  <c r="AR102" s="242"/>
      <c r="AS102" s="242"/>
      <c r="AT102" s="278"/>
      <c r="AU102" s="278"/>
      <c r="AV102" s="278"/>
      <c r="AW102" s="278"/>
      <c r="AX102" s="293"/>
      <c r="AY102" s="304">
        <f t="shared" si="12"/>
        <v>0</v>
      </c>
    </row>
    <row r="103" spans="1:51" s="300" customFormat="1" ht="14.25" customHeight="1" x14ac:dyDescent="0.2">
      <c r="A103" s="331">
        <v>3</v>
      </c>
      <c r="B103" s="447" t="s">
        <v>157</v>
      </c>
      <c r="C103" s="452"/>
      <c r="D103" s="453">
        <v>40630.800000000003</v>
      </c>
      <c r="E103" s="139" t="s">
        <v>179</v>
      </c>
      <c r="F103" s="450">
        <f t="shared" si="9"/>
        <v>148790.26250000004</v>
      </c>
      <c r="G103" s="302"/>
      <c r="H103" s="302" t="s">
        <v>207</v>
      </c>
      <c r="I103" s="302" t="s">
        <v>207</v>
      </c>
      <c r="J103" s="302"/>
      <c r="K103" s="298"/>
      <c r="L103" s="278"/>
      <c r="M103" s="278"/>
      <c r="N103" s="278"/>
      <c r="O103" s="278"/>
      <c r="P103" s="278"/>
      <c r="Q103" s="278"/>
      <c r="R103" s="278"/>
      <c r="S103" s="278"/>
      <c r="T103" s="278"/>
      <c r="U103" s="304"/>
      <c r="V103" s="305"/>
      <c r="W103" s="242"/>
      <c r="X103" s="242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  <c r="AR103" s="242"/>
      <c r="AS103" s="242"/>
      <c r="AT103" s="278"/>
      <c r="AU103" s="278"/>
      <c r="AV103" s="278"/>
      <c r="AW103" s="278"/>
      <c r="AX103" s="293"/>
      <c r="AY103" s="304">
        <f t="shared" si="12"/>
        <v>0</v>
      </c>
    </row>
    <row r="104" spans="1:51" s="300" customFormat="1" ht="14.25" customHeight="1" x14ac:dyDescent="0.2">
      <c r="A104" s="290">
        <v>4</v>
      </c>
      <c r="B104" s="432" t="s">
        <v>148</v>
      </c>
      <c r="C104" s="433">
        <v>150</v>
      </c>
      <c r="D104" s="430">
        <f t="shared" ref="D104:D152" si="15">SUM(C104*-1)</f>
        <v>-150</v>
      </c>
      <c r="E104" s="28" t="s">
        <v>147</v>
      </c>
      <c r="F104" s="431">
        <f t="shared" si="9"/>
        <v>148640.26250000004</v>
      </c>
      <c r="G104" s="302"/>
      <c r="H104" s="302">
        <v>7950</v>
      </c>
      <c r="I104" s="303">
        <f t="shared" ref="I104:I111" si="16">C104</f>
        <v>150</v>
      </c>
      <c r="J104" s="302"/>
      <c r="K104" s="298"/>
      <c r="L104" s="278"/>
      <c r="M104" s="278"/>
      <c r="N104" s="278"/>
      <c r="O104" s="278"/>
      <c r="P104" s="278"/>
      <c r="Q104" s="278"/>
      <c r="R104" s="278"/>
      <c r="S104" s="278"/>
      <c r="T104" s="278"/>
      <c r="U104" s="304"/>
      <c r="V104" s="305"/>
      <c r="W104" s="242">
        <f>SUM(I104)</f>
        <v>150</v>
      </c>
      <c r="X104" s="242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  <c r="AR104" s="242"/>
      <c r="AS104" s="242"/>
      <c r="AT104" s="278"/>
      <c r="AU104" s="278"/>
      <c r="AV104" s="278"/>
      <c r="AW104" s="278"/>
      <c r="AX104" s="293"/>
      <c r="AY104" s="304">
        <f t="shared" si="12"/>
        <v>0</v>
      </c>
    </row>
    <row r="105" spans="1:51" s="300" customFormat="1" ht="14.25" customHeight="1" x14ac:dyDescent="0.2">
      <c r="A105" s="290">
        <v>4</v>
      </c>
      <c r="B105" s="432" t="s">
        <v>146</v>
      </c>
      <c r="C105" s="433">
        <v>149.99</v>
      </c>
      <c r="D105" s="430">
        <f t="shared" si="15"/>
        <v>-149.99</v>
      </c>
      <c r="E105" s="28" t="s">
        <v>145</v>
      </c>
      <c r="F105" s="431">
        <f t="shared" si="9"/>
        <v>148490.27250000005</v>
      </c>
      <c r="G105" s="302"/>
      <c r="H105" s="302">
        <v>7950</v>
      </c>
      <c r="I105" s="303">
        <f t="shared" si="16"/>
        <v>149.99</v>
      </c>
      <c r="J105" s="302"/>
      <c r="K105" s="298"/>
      <c r="L105" s="278"/>
      <c r="M105" s="278"/>
      <c r="N105" s="278"/>
      <c r="O105" s="278"/>
      <c r="P105" s="278"/>
      <c r="Q105" s="278"/>
      <c r="R105" s="278"/>
      <c r="S105" s="278"/>
      <c r="T105" s="278"/>
      <c r="U105" s="304"/>
      <c r="V105" s="305"/>
      <c r="W105" s="242">
        <f>SUM(I105)</f>
        <v>149.99</v>
      </c>
      <c r="X105" s="242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  <c r="AR105" s="242"/>
      <c r="AS105" s="242"/>
      <c r="AT105" s="278"/>
      <c r="AU105" s="278"/>
      <c r="AV105" s="278"/>
      <c r="AW105" s="278"/>
      <c r="AX105" s="293"/>
      <c r="AY105" s="304">
        <f t="shared" si="12"/>
        <v>0</v>
      </c>
    </row>
    <row r="106" spans="1:51" s="300" customFormat="1" ht="14.25" customHeight="1" x14ac:dyDescent="0.2">
      <c r="A106" s="290">
        <v>4</v>
      </c>
      <c r="B106" s="432" t="s">
        <v>144</v>
      </c>
      <c r="C106" s="433">
        <v>300</v>
      </c>
      <c r="D106" s="430">
        <f t="shared" si="15"/>
        <v>-300</v>
      </c>
      <c r="E106" s="28" t="s">
        <v>138</v>
      </c>
      <c r="F106" s="431">
        <f t="shared" si="9"/>
        <v>148190.27250000005</v>
      </c>
      <c r="G106" s="302"/>
      <c r="H106" s="302">
        <v>7950</v>
      </c>
      <c r="I106" s="303">
        <f t="shared" si="16"/>
        <v>300</v>
      </c>
      <c r="J106" s="302"/>
      <c r="K106" s="298"/>
      <c r="L106" s="278"/>
      <c r="M106" s="278"/>
      <c r="N106" s="278"/>
      <c r="O106" s="278"/>
      <c r="P106" s="278"/>
      <c r="Q106" s="278"/>
      <c r="R106" s="278"/>
      <c r="S106" s="278"/>
      <c r="T106" s="278"/>
      <c r="U106" s="304"/>
      <c r="V106" s="305"/>
      <c r="W106" s="242">
        <f>SUM(I106)</f>
        <v>300</v>
      </c>
      <c r="X106" s="242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  <c r="AR106" s="242"/>
      <c r="AS106" s="242"/>
      <c r="AT106" s="278"/>
      <c r="AU106" s="278"/>
      <c r="AV106" s="278"/>
      <c r="AW106" s="278"/>
      <c r="AX106" s="293"/>
      <c r="AY106" s="304">
        <f t="shared" si="12"/>
        <v>0</v>
      </c>
    </row>
    <row r="107" spans="1:51" s="300" customFormat="1" ht="14.25" customHeight="1" x14ac:dyDescent="0.2">
      <c r="A107" s="290">
        <v>4</v>
      </c>
      <c r="B107" s="40" t="s">
        <v>143</v>
      </c>
      <c r="C107" s="433">
        <v>75</v>
      </c>
      <c r="D107" s="430">
        <f t="shared" si="15"/>
        <v>-75</v>
      </c>
      <c r="E107" s="28" t="s">
        <v>138</v>
      </c>
      <c r="F107" s="431">
        <f t="shared" si="9"/>
        <v>148115.27250000005</v>
      </c>
      <c r="G107" s="302"/>
      <c r="H107" s="302">
        <v>7950</v>
      </c>
      <c r="I107" s="303">
        <f t="shared" si="16"/>
        <v>75</v>
      </c>
      <c r="J107" s="302"/>
      <c r="K107" s="298"/>
      <c r="L107" s="278"/>
      <c r="M107" s="278"/>
      <c r="N107" s="278"/>
      <c r="O107" s="278"/>
      <c r="P107" s="278"/>
      <c r="Q107" s="278"/>
      <c r="R107" s="278"/>
      <c r="S107" s="278"/>
      <c r="T107" s="278"/>
      <c r="U107" s="304"/>
      <c r="V107" s="305"/>
      <c r="W107" s="242">
        <f>SUM(I107)</f>
        <v>75</v>
      </c>
      <c r="X107" s="242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  <c r="AR107" s="242"/>
      <c r="AS107" s="242"/>
      <c r="AT107" s="278"/>
      <c r="AU107" s="278"/>
      <c r="AV107" s="278"/>
      <c r="AW107" s="278"/>
      <c r="AX107" s="293"/>
      <c r="AY107" s="304">
        <f t="shared" si="12"/>
        <v>0</v>
      </c>
    </row>
    <row r="108" spans="1:51" s="300" customFormat="1" ht="14.25" customHeight="1" x14ac:dyDescent="0.2">
      <c r="A108" s="290">
        <v>4</v>
      </c>
      <c r="B108" s="432" t="s">
        <v>142</v>
      </c>
      <c r="C108" s="433">
        <v>2500</v>
      </c>
      <c r="D108" s="430">
        <f t="shared" si="15"/>
        <v>-2500</v>
      </c>
      <c r="E108" s="28" t="s">
        <v>140</v>
      </c>
      <c r="F108" s="431">
        <f t="shared" si="9"/>
        <v>145615.27250000005</v>
      </c>
      <c r="G108" s="302"/>
      <c r="H108" s="302">
        <v>5710</v>
      </c>
      <c r="I108" s="303">
        <f t="shared" si="16"/>
        <v>2500</v>
      </c>
      <c r="J108" s="302"/>
      <c r="K108" s="298"/>
      <c r="L108" s="278"/>
      <c r="M108" s="278"/>
      <c r="N108" s="278"/>
      <c r="O108" s="278"/>
      <c r="P108" s="278"/>
      <c r="Q108" s="278"/>
      <c r="R108" s="278"/>
      <c r="S108" s="278"/>
      <c r="T108" s="278"/>
      <c r="U108" s="304"/>
      <c r="V108" s="305"/>
      <c r="W108" s="242"/>
      <c r="X108" s="242"/>
      <c r="Y108" s="242"/>
      <c r="Z108" s="242">
        <f>SUM(I108)</f>
        <v>2500</v>
      </c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  <c r="AR108" s="242"/>
      <c r="AS108" s="242"/>
      <c r="AT108" s="278"/>
      <c r="AU108" s="278"/>
      <c r="AV108" s="278"/>
      <c r="AW108" s="278"/>
      <c r="AX108" s="293"/>
      <c r="AY108" s="304">
        <f t="shared" si="12"/>
        <v>0</v>
      </c>
    </row>
    <row r="109" spans="1:51" s="300" customFormat="1" ht="14.25" customHeight="1" x14ac:dyDescent="0.2">
      <c r="A109" s="290">
        <v>4</v>
      </c>
      <c r="B109" s="432" t="s">
        <v>141</v>
      </c>
      <c r="C109" s="433">
        <v>1080</v>
      </c>
      <c r="D109" s="430">
        <f t="shared" si="15"/>
        <v>-1080</v>
      </c>
      <c r="E109" s="28" t="s">
        <v>140</v>
      </c>
      <c r="F109" s="431">
        <f t="shared" si="9"/>
        <v>144535.27250000005</v>
      </c>
      <c r="G109" s="302"/>
      <c r="H109" s="302">
        <v>6730</v>
      </c>
      <c r="I109" s="303">
        <f t="shared" si="16"/>
        <v>1080</v>
      </c>
      <c r="J109" s="302"/>
      <c r="K109" s="298"/>
      <c r="L109" s="278"/>
      <c r="M109" s="278"/>
      <c r="N109" s="278"/>
      <c r="O109" s="278"/>
      <c r="P109" s="278"/>
      <c r="Q109" s="278"/>
      <c r="R109" s="278"/>
      <c r="S109" s="278"/>
      <c r="T109" s="278"/>
      <c r="U109" s="304"/>
      <c r="V109" s="305"/>
      <c r="W109" s="242"/>
      <c r="X109" s="242">
        <f>SUM(I109)</f>
        <v>1080</v>
      </c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  <c r="AR109" s="242"/>
      <c r="AS109" s="242"/>
      <c r="AT109" s="278"/>
      <c r="AU109" s="278"/>
      <c r="AV109" s="278"/>
      <c r="AW109" s="278"/>
      <c r="AX109" s="293"/>
      <c r="AY109" s="304">
        <f t="shared" si="12"/>
        <v>0</v>
      </c>
    </row>
    <row r="110" spans="1:51" s="300" customFormat="1" ht="14.25" customHeight="1" x14ac:dyDescent="0.2">
      <c r="A110" s="290">
        <v>4</v>
      </c>
      <c r="B110" s="432" t="s">
        <v>139</v>
      </c>
      <c r="C110" s="433">
        <v>750</v>
      </c>
      <c r="D110" s="430">
        <f t="shared" si="15"/>
        <v>-750</v>
      </c>
      <c r="E110" s="28" t="s">
        <v>138</v>
      </c>
      <c r="F110" s="431">
        <f t="shared" si="9"/>
        <v>143785.27250000005</v>
      </c>
      <c r="G110" s="302"/>
      <c r="H110" s="302">
        <v>7010</v>
      </c>
      <c r="I110" s="303">
        <f t="shared" si="16"/>
        <v>750</v>
      </c>
      <c r="J110" s="302"/>
      <c r="K110" s="298"/>
      <c r="L110" s="278"/>
      <c r="M110" s="278"/>
      <c r="N110" s="278"/>
      <c r="O110" s="278"/>
      <c r="P110" s="278"/>
      <c r="Q110" s="278"/>
      <c r="R110" s="278"/>
      <c r="S110" s="278"/>
      <c r="T110" s="278"/>
      <c r="U110" s="304"/>
      <c r="V110" s="305"/>
      <c r="W110" s="242"/>
      <c r="X110" s="242"/>
      <c r="Y110" s="278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  <c r="AR110" s="242"/>
      <c r="AS110" s="242"/>
      <c r="AT110" s="278"/>
      <c r="AU110" s="278"/>
      <c r="AV110" s="278"/>
      <c r="AW110" s="242">
        <f>SUM(I110)</f>
        <v>750</v>
      </c>
      <c r="AX110" s="293"/>
      <c r="AY110" s="304">
        <f t="shared" si="12"/>
        <v>0</v>
      </c>
    </row>
    <row r="111" spans="1:51" s="300" customFormat="1" ht="14.25" customHeight="1" thickBot="1" x14ac:dyDescent="0.25">
      <c r="A111" s="290">
        <v>4</v>
      </c>
      <c r="B111" s="432" t="s">
        <v>178</v>
      </c>
      <c r="C111" s="433">
        <v>24882.35</v>
      </c>
      <c r="D111" s="430">
        <f t="shared" si="15"/>
        <v>-24882.35</v>
      </c>
      <c r="E111" s="28" t="s">
        <v>294</v>
      </c>
      <c r="F111" s="431">
        <f t="shared" si="9"/>
        <v>118902.92250000004</v>
      </c>
      <c r="G111" s="302"/>
      <c r="H111" s="302">
        <v>5130</v>
      </c>
      <c r="I111" s="303">
        <f t="shared" si="16"/>
        <v>24882.35</v>
      </c>
      <c r="J111" s="302"/>
      <c r="K111" s="298"/>
      <c r="L111" s="278"/>
      <c r="M111" s="278"/>
      <c r="N111" s="278"/>
      <c r="O111" s="278"/>
      <c r="P111" s="278"/>
      <c r="Q111" s="278"/>
      <c r="R111" s="278"/>
      <c r="S111" s="278"/>
      <c r="T111" s="278"/>
      <c r="U111" s="307"/>
      <c r="V111" s="308"/>
      <c r="W111" s="308"/>
      <c r="X111" s="308"/>
      <c r="Y111" s="308"/>
      <c r="Z111" s="308"/>
      <c r="AA111" s="308">
        <f>SUM(I111)</f>
        <v>24882.35</v>
      </c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9"/>
      <c r="AU111" s="309"/>
      <c r="AV111" s="309"/>
      <c r="AW111" s="309"/>
      <c r="AX111" s="309"/>
      <c r="AY111" s="307">
        <f t="shared" si="12"/>
        <v>0</v>
      </c>
    </row>
    <row r="112" spans="1:51" s="300" customFormat="1" ht="14.25" customHeight="1" x14ac:dyDescent="0.2">
      <c r="A112" s="290"/>
      <c r="B112" s="432"/>
      <c r="C112" s="433"/>
      <c r="D112" s="430"/>
      <c r="E112" s="463" t="s">
        <v>285</v>
      </c>
      <c r="F112" s="431">
        <f t="shared" si="9"/>
        <v>118902.92250000004</v>
      </c>
      <c r="G112" s="302"/>
      <c r="H112" s="302"/>
      <c r="I112" s="303"/>
      <c r="J112" s="302"/>
      <c r="K112" s="298"/>
      <c r="L112" s="278"/>
      <c r="M112" s="278"/>
      <c r="N112" s="278"/>
      <c r="O112" s="278"/>
      <c r="P112" s="278"/>
      <c r="Q112" s="278"/>
      <c r="R112" s="278"/>
      <c r="S112" s="278"/>
      <c r="T112" s="278"/>
      <c r="U112" s="310">
        <f>SUM(U84:U111)</f>
        <v>294.95</v>
      </c>
      <c r="V112" s="311">
        <f>SUM(V84:V111)</f>
        <v>708.65</v>
      </c>
      <c r="W112" s="311">
        <f t="shared" ref="W112:AX112" si="17">SUM(W84:W111)</f>
        <v>779.72749999999996</v>
      </c>
      <c r="X112" s="311">
        <f t="shared" si="17"/>
        <v>1080</v>
      </c>
      <c r="Y112" s="311">
        <f t="shared" si="17"/>
        <v>778.6875</v>
      </c>
      <c r="Z112" s="311">
        <f t="shared" si="17"/>
        <v>2500</v>
      </c>
      <c r="AA112" s="311">
        <f t="shared" si="17"/>
        <v>25257.35</v>
      </c>
      <c r="AB112" s="311">
        <f t="shared" si="17"/>
        <v>7500</v>
      </c>
      <c r="AC112" s="311">
        <f t="shared" si="17"/>
        <v>2350</v>
      </c>
      <c r="AD112" s="311">
        <f t="shared" si="17"/>
        <v>1674</v>
      </c>
      <c r="AE112" s="311">
        <f t="shared" si="17"/>
        <v>8333</v>
      </c>
      <c r="AF112" s="311">
        <f t="shared" si="17"/>
        <v>150</v>
      </c>
      <c r="AG112" s="311">
        <f t="shared" si="17"/>
        <v>2750</v>
      </c>
      <c r="AH112" s="311">
        <f t="shared" si="17"/>
        <v>27200</v>
      </c>
      <c r="AI112" s="311">
        <f t="shared" si="17"/>
        <v>2000</v>
      </c>
      <c r="AJ112" s="311">
        <f t="shared" si="17"/>
        <v>4000</v>
      </c>
      <c r="AK112" s="311">
        <f t="shared" si="17"/>
        <v>250</v>
      </c>
      <c r="AL112" s="311">
        <f t="shared" si="17"/>
        <v>0</v>
      </c>
      <c r="AM112" s="311">
        <f t="shared" si="17"/>
        <v>200</v>
      </c>
      <c r="AN112" s="311">
        <f t="shared" si="17"/>
        <v>625</v>
      </c>
      <c r="AO112" s="311">
        <f t="shared" si="17"/>
        <v>0</v>
      </c>
      <c r="AP112" s="311">
        <f t="shared" si="17"/>
        <v>1833.35</v>
      </c>
      <c r="AQ112" s="311">
        <f t="shared" si="17"/>
        <v>111.1875</v>
      </c>
      <c r="AR112" s="311">
        <f t="shared" si="17"/>
        <v>63.75</v>
      </c>
      <c r="AS112" s="311">
        <f t="shared" si="17"/>
        <v>0</v>
      </c>
      <c r="AT112" s="311">
        <f t="shared" si="17"/>
        <v>0</v>
      </c>
      <c r="AU112" s="311">
        <f t="shared" si="17"/>
        <v>0</v>
      </c>
      <c r="AV112" s="311">
        <f t="shared" si="17"/>
        <v>0</v>
      </c>
      <c r="AW112" s="311">
        <f t="shared" si="17"/>
        <v>750</v>
      </c>
      <c r="AX112" s="311">
        <f t="shared" si="17"/>
        <v>3250</v>
      </c>
      <c r="AY112" s="304"/>
    </row>
    <row r="113" spans="1:51" s="300" customFormat="1" ht="14.25" customHeight="1" x14ac:dyDescent="0.2">
      <c r="A113" s="290"/>
      <c r="B113" s="432"/>
      <c r="C113" s="433"/>
      <c r="D113" s="430"/>
      <c r="E113" s="28"/>
      <c r="F113" s="431">
        <f t="shared" si="9"/>
        <v>118902.92250000004</v>
      </c>
      <c r="G113" s="302"/>
      <c r="H113" s="302"/>
      <c r="I113" s="303"/>
      <c r="J113" s="302"/>
      <c r="K113" s="298"/>
      <c r="L113" s="278"/>
      <c r="M113" s="278"/>
      <c r="N113" s="278"/>
      <c r="O113" s="278"/>
      <c r="P113" s="278"/>
      <c r="Q113" s="278"/>
      <c r="R113" s="278"/>
      <c r="S113" s="278"/>
      <c r="T113" s="278"/>
      <c r="U113" s="304"/>
      <c r="V113" s="305"/>
      <c r="W113" s="242"/>
      <c r="X113" s="242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  <c r="AR113" s="242"/>
      <c r="AS113" s="242"/>
      <c r="AT113" s="278"/>
      <c r="AU113" s="278"/>
      <c r="AV113" s="278"/>
      <c r="AW113" s="278"/>
      <c r="AX113" s="293"/>
      <c r="AY113" s="304"/>
    </row>
    <row r="114" spans="1:51" s="278" customFormat="1" ht="14.25" customHeight="1" x14ac:dyDescent="0.2">
      <c r="A114" s="321">
        <v>5</v>
      </c>
      <c r="B114" s="440" t="s">
        <v>177</v>
      </c>
      <c r="C114" s="441">
        <v>2000</v>
      </c>
      <c r="D114" s="442">
        <f t="shared" si="15"/>
        <v>-2000</v>
      </c>
      <c r="E114" s="47" t="s">
        <v>170</v>
      </c>
      <c r="F114" s="431">
        <f t="shared" si="9"/>
        <v>116902.92250000004</v>
      </c>
      <c r="G114" s="302"/>
      <c r="H114" s="302"/>
      <c r="I114" s="303"/>
      <c r="J114" s="302"/>
      <c r="K114" s="298"/>
      <c r="U114" s="304"/>
      <c r="V114" s="305">
        <v>250</v>
      </c>
      <c r="W114" s="242"/>
      <c r="X114" s="242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  <c r="AR114" s="242"/>
      <c r="AS114" s="242"/>
      <c r="AX114" s="305">
        <v>1750</v>
      </c>
      <c r="AY114" s="304">
        <f t="shared" si="12"/>
        <v>0</v>
      </c>
    </row>
    <row r="115" spans="1:51" s="278" customFormat="1" ht="14.25" customHeight="1" x14ac:dyDescent="0.2">
      <c r="A115" s="321">
        <v>5</v>
      </c>
      <c r="B115" s="440" t="s">
        <v>176</v>
      </c>
      <c r="C115" s="441">
        <v>7500</v>
      </c>
      <c r="D115" s="442">
        <f t="shared" si="15"/>
        <v>-7500</v>
      </c>
      <c r="E115" s="47" t="s">
        <v>170</v>
      </c>
      <c r="F115" s="431">
        <f t="shared" si="9"/>
        <v>109402.92250000004</v>
      </c>
      <c r="G115" s="302"/>
      <c r="H115" s="302">
        <v>5510</v>
      </c>
      <c r="I115" s="303">
        <f>C115</f>
        <v>7500</v>
      </c>
      <c r="J115" s="302"/>
      <c r="K115" s="298"/>
      <c r="U115" s="304"/>
      <c r="V115" s="305"/>
      <c r="W115" s="242"/>
      <c r="X115" s="242"/>
      <c r="Y115" s="242"/>
      <c r="Z115" s="242"/>
      <c r="AA115" s="242"/>
      <c r="AB115" s="242">
        <f>SUM(I115)</f>
        <v>7500</v>
      </c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  <c r="AR115" s="242"/>
      <c r="AS115" s="242"/>
      <c r="AX115" s="293"/>
      <c r="AY115" s="304">
        <f t="shared" si="12"/>
        <v>0</v>
      </c>
    </row>
    <row r="116" spans="1:51" s="278" customFormat="1" ht="14.25" customHeight="1" x14ac:dyDescent="0.2">
      <c r="A116" s="321">
        <v>5</v>
      </c>
      <c r="B116" s="440" t="s">
        <v>175</v>
      </c>
      <c r="C116" s="441">
        <v>550</v>
      </c>
      <c r="D116" s="442">
        <f t="shared" si="15"/>
        <v>-550</v>
      </c>
      <c r="E116" s="47" t="s">
        <v>170</v>
      </c>
      <c r="F116" s="431">
        <f t="shared" si="9"/>
        <v>108852.92250000004</v>
      </c>
      <c r="G116" s="302"/>
      <c r="H116" s="302">
        <v>7650</v>
      </c>
      <c r="I116" s="303">
        <f>C116</f>
        <v>550</v>
      </c>
      <c r="J116" s="302"/>
      <c r="K116" s="298"/>
      <c r="U116" s="304"/>
      <c r="V116" s="305"/>
      <c r="W116" s="242"/>
      <c r="X116" s="242"/>
      <c r="Y116" s="242"/>
      <c r="Z116" s="242"/>
      <c r="AA116" s="242"/>
      <c r="AB116" s="242"/>
      <c r="AC116" s="242">
        <f>SUM(I116)</f>
        <v>550</v>
      </c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  <c r="AR116" s="242"/>
      <c r="AS116" s="242"/>
      <c r="AX116" s="293"/>
      <c r="AY116" s="304">
        <f t="shared" si="12"/>
        <v>0</v>
      </c>
    </row>
    <row r="117" spans="1:51" s="278" customFormat="1" ht="14.25" customHeight="1" x14ac:dyDescent="0.2">
      <c r="A117" s="321">
        <v>5</v>
      </c>
      <c r="B117" s="440" t="s">
        <v>174</v>
      </c>
      <c r="C117" s="441">
        <v>1800</v>
      </c>
      <c r="D117" s="442">
        <f t="shared" si="15"/>
        <v>-1800</v>
      </c>
      <c r="E117" s="47" t="s">
        <v>173</v>
      </c>
      <c r="F117" s="431">
        <f t="shared" si="9"/>
        <v>107052.92250000004</v>
      </c>
      <c r="G117" s="302"/>
      <c r="H117" s="302">
        <v>7650</v>
      </c>
      <c r="I117" s="303">
        <f>C117</f>
        <v>1800</v>
      </c>
      <c r="J117" s="302"/>
      <c r="K117" s="298"/>
      <c r="U117" s="304"/>
      <c r="V117" s="305"/>
      <c r="W117" s="242"/>
      <c r="X117" s="242"/>
      <c r="Y117" s="242"/>
      <c r="Z117" s="242"/>
      <c r="AA117" s="242"/>
      <c r="AB117" s="242"/>
      <c r="AC117" s="242">
        <f>SUM(I117)</f>
        <v>1800</v>
      </c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  <c r="AR117" s="242"/>
      <c r="AS117" s="242"/>
      <c r="AX117" s="293"/>
      <c r="AY117" s="304">
        <f t="shared" si="12"/>
        <v>0</v>
      </c>
    </row>
    <row r="118" spans="1:51" s="278" customFormat="1" ht="14.25" customHeight="1" x14ac:dyDescent="0.2">
      <c r="A118" s="290">
        <v>5</v>
      </c>
      <c r="B118" s="432" t="s">
        <v>172</v>
      </c>
      <c r="C118" s="433">
        <v>9917</v>
      </c>
      <c r="D118" s="430">
        <f t="shared" si="15"/>
        <v>-9917</v>
      </c>
      <c r="E118" s="28" t="s">
        <v>170</v>
      </c>
      <c r="F118" s="431">
        <f t="shared" si="9"/>
        <v>97135.922500000044</v>
      </c>
      <c r="G118" s="302"/>
      <c r="H118" s="302">
        <v>5750</v>
      </c>
      <c r="I118" s="313">
        <v>1584</v>
      </c>
      <c r="J118" s="302">
        <v>5520</v>
      </c>
      <c r="K118" s="298">
        <v>8333</v>
      </c>
      <c r="U118" s="304"/>
      <c r="V118" s="305"/>
      <c r="W118" s="242"/>
      <c r="X118" s="242"/>
      <c r="Y118" s="242"/>
      <c r="Z118" s="242"/>
      <c r="AA118" s="242"/>
      <c r="AB118" s="242"/>
      <c r="AC118" s="242"/>
      <c r="AD118" s="242">
        <f>SUM(I118)</f>
        <v>1584</v>
      </c>
      <c r="AE118" s="242">
        <f>SUM(K118)</f>
        <v>8333</v>
      </c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  <c r="AR118" s="242"/>
      <c r="AS118" s="242"/>
      <c r="AX118" s="293"/>
      <c r="AY118" s="304">
        <f t="shared" si="12"/>
        <v>0</v>
      </c>
    </row>
    <row r="119" spans="1:51" s="278" customFormat="1" ht="14.25" customHeight="1" x14ac:dyDescent="0.2">
      <c r="A119" s="290">
        <v>5</v>
      </c>
      <c r="B119" s="432" t="s">
        <v>171</v>
      </c>
      <c r="C119" s="433">
        <v>34.950000000000003</v>
      </c>
      <c r="D119" s="430">
        <f t="shared" si="15"/>
        <v>-34.950000000000003</v>
      </c>
      <c r="E119" s="28" t="s">
        <v>170</v>
      </c>
      <c r="F119" s="431">
        <f t="shared" si="9"/>
        <v>97100.972500000047</v>
      </c>
      <c r="G119" s="302"/>
      <c r="H119" s="302">
        <v>7850</v>
      </c>
      <c r="I119" s="303">
        <f>C119</f>
        <v>34.950000000000003</v>
      </c>
      <c r="J119" s="302"/>
      <c r="K119" s="298"/>
      <c r="U119" s="304">
        <f>SUM(I119)</f>
        <v>34.950000000000003</v>
      </c>
      <c r="V119" s="305"/>
      <c r="W119" s="242"/>
      <c r="X119" s="242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  <c r="AR119" s="242"/>
      <c r="AS119" s="242"/>
      <c r="AX119" s="293"/>
      <c r="AY119" s="304">
        <f t="shared" si="12"/>
        <v>0</v>
      </c>
    </row>
    <row r="120" spans="1:51" s="278" customFormat="1" ht="14.25" customHeight="1" x14ac:dyDescent="0.2">
      <c r="A120" s="290">
        <v>5</v>
      </c>
      <c r="B120" s="432" t="s">
        <v>169</v>
      </c>
      <c r="C120" s="433">
        <v>150</v>
      </c>
      <c r="D120" s="430">
        <f t="shared" si="15"/>
        <v>-150</v>
      </c>
      <c r="E120" s="28" t="s">
        <v>168</v>
      </c>
      <c r="F120" s="431">
        <f t="shared" si="9"/>
        <v>96950.972500000047</v>
      </c>
      <c r="G120" s="302"/>
      <c r="H120" s="302">
        <v>7090</v>
      </c>
      <c r="I120" s="303">
        <f>C120</f>
        <v>150</v>
      </c>
      <c r="J120" s="302"/>
      <c r="K120" s="298"/>
      <c r="U120" s="304"/>
      <c r="V120" s="305"/>
      <c r="W120" s="242"/>
      <c r="X120" s="242"/>
      <c r="Y120" s="242"/>
      <c r="Z120" s="242"/>
      <c r="AA120" s="242"/>
      <c r="AB120" s="242"/>
      <c r="AC120" s="242"/>
      <c r="AD120" s="242"/>
      <c r="AE120" s="242"/>
      <c r="AF120" s="242">
        <f>SUM(I120)</f>
        <v>150</v>
      </c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  <c r="AR120" s="242"/>
      <c r="AS120" s="242"/>
      <c r="AX120" s="293"/>
      <c r="AY120" s="304">
        <f t="shared" si="12"/>
        <v>0</v>
      </c>
    </row>
    <row r="121" spans="1:51" s="278" customFormat="1" ht="14.25" customHeight="1" x14ac:dyDescent="0.2">
      <c r="A121" s="321">
        <v>5</v>
      </c>
      <c r="B121" s="440" t="s">
        <v>155</v>
      </c>
      <c r="C121" s="441">
        <f>SUM(C99)</f>
        <v>18100</v>
      </c>
      <c r="D121" s="442">
        <f t="shared" si="15"/>
        <v>-18100</v>
      </c>
      <c r="E121" s="47" t="s">
        <v>167</v>
      </c>
      <c r="F121" s="454">
        <f t="shared" si="9"/>
        <v>78850.972500000047</v>
      </c>
      <c r="G121" s="302"/>
      <c r="H121" s="302">
        <v>8570</v>
      </c>
      <c r="I121" s="313">
        <v>1375</v>
      </c>
      <c r="J121" s="302" t="s">
        <v>207</v>
      </c>
      <c r="K121" s="298" t="s">
        <v>207</v>
      </c>
      <c r="L121" s="278">
        <v>8510</v>
      </c>
      <c r="M121" s="298">
        <v>13600</v>
      </c>
      <c r="N121" s="314">
        <v>8250</v>
      </c>
      <c r="O121" s="298">
        <v>1000</v>
      </c>
      <c r="P121" s="314">
        <v>8530</v>
      </c>
      <c r="Q121" s="315">
        <v>2000</v>
      </c>
      <c r="R121" s="314">
        <v>8590</v>
      </c>
      <c r="S121" s="298">
        <v>125</v>
      </c>
      <c r="T121" s="316">
        <f>SUM(I121+M121+O121+Q121+S121)</f>
        <v>18100</v>
      </c>
      <c r="U121" s="304"/>
      <c r="V121" s="305"/>
      <c r="W121" s="242"/>
      <c r="X121" s="242"/>
      <c r="Y121" s="242"/>
      <c r="Z121" s="242"/>
      <c r="AA121" s="242"/>
      <c r="AB121" s="242"/>
      <c r="AC121" s="242"/>
      <c r="AD121" s="242"/>
      <c r="AE121" s="242"/>
      <c r="AF121" s="242"/>
      <c r="AG121" s="242">
        <f>SUM(I121)</f>
        <v>1375</v>
      </c>
      <c r="AH121" s="242">
        <f>SUM(M121)</f>
        <v>13600</v>
      </c>
      <c r="AI121" s="242">
        <f>SUM(O121)</f>
        <v>1000</v>
      </c>
      <c r="AJ121" s="242">
        <f>SUM(Q121)</f>
        <v>2000</v>
      </c>
      <c r="AK121" s="242">
        <f>SUM(S121)</f>
        <v>125</v>
      </c>
      <c r="AL121" s="242"/>
      <c r="AM121" s="242"/>
      <c r="AN121" s="242"/>
      <c r="AO121" s="242"/>
      <c r="AP121" s="242"/>
      <c r="AQ121" s="242"/>
      <c r="AR121" s="242"/>
      <c r="AS121" s="242"/>
      <c r="AX121" s="293"/>
      <c r="AY121" s="304">
        <f t="shared" si="12"/>
        <v>0</v>
      </c>
    </row>
    <row r="122" spans="1:51" s="278" customFormat="1" ht="14.25" customHeight="1" x14ac:dyDescent="0.2">
      <c r="A122" s="290">
        <v>5</v>
      </c>
      <c r="B122" s="432" t="s">
        <v>153</v>
      </c>
      <c r="C122" s="433">
        <v>100</v>
      </c>
      <c r="D122" s="430">
        <f t="shared" si="15"/>
        <v>-100</v>
      </c>
      <c r="E122" s="28" t="s">
        <v>166</v>
      </c>
      <c r="F122" s="431">
        <f t="shared" si="9"/>
        <v>78750.972500000047</v>
      </c>
      <c r="G122" s="302"/>
      <c r="H122" s="302">
        <v>7850</v>
      </c>
      <c r="I122" s="303">
        <f>C122</f>
        <v>100</v>
      </c>
      <c r="J122" s="302"/>
      <c r="K122" s="298"/>
      <c r="U122" s="304">
        <f>SUM(I122)</f>
        <v>100</v>
      </c>
      <c r="V122" s="305"/>
      <c r="W122" s="242"/>
      <c r="X122" s="242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  <c r="AR122" s="242"/>
      <c r="AS122" s="242"/>
      <c r="AX122" s="293"/>
      <c r="AY122" s="304">
        <f t="shared" si="12"/>
        <v>0</v>
      </c>
    </row>
    <row r="123" spans="1:51" s="278" customFormat="1" ht="14.25" customHeight="1" x14ac:dyDescent="0.2">
      <c r="A123" s="290">
        <v>5</v>
      </c>
      <c r="B123" s="432" t="s">
        <v>165</v>
      </c>
      <c r="C123" s="433">
        <v>200</v>
      </c>
      <c r="D123" s="430">
        <f t="shared" si="15"/>
        <v>-200</v>
      </c>
      <c r="E123" s="28" t="s">
        <v>161</v>
      </c>
      <c r="F123" s="431">
        <f t="shared" si="9"/>
        <v>78550.972500000047</v>
      </c>
      <c r="G123" s="302"/>
      <c r="H123" s="302">
        <v>6770</v>
      </c>
      <c r="I123" s="303">
        <f>C123</f>
        <v>200</v>
      </c>
      <c r="J123" s="302"/>
      <c r="K123" s="298"/>
      <c r="U123" s="304"/>
      <c r="V123" s="305"/>
      <c r="W123" s="242"/>
      <c r="X123" s="242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>
        <f>SUM(I123)</f>
        <v>200</v>
      </c>
      <c r="AN123" s="242"/>
      <c r="AO123" s="242"/>
      <c r="AP123" s="242"/>
      <c r="AQ123" s="242"/>
      <c r="AR123" s="242"/>
      <c r="AS123" s="242"/>
      <c r="AX123" s="293"/>
      <c r="AY123" s="304">
        <f t="shared" si="12"/>
        <v>0</v>
      </c>
    </row>
    <row r="124" spans="1:51" s="278" customFormat="1" ht="14.25" customHeight="1" x14ac:dyDescent="0.2">
      <c r="A124" s="290">
        <v>5</v>
      </c>
      <c r="B124" s="40" t="s">
        <v>164</v>
      </c>
      <c r="C124" s="433">
        <v>625</v>
      </c>
      <c r="D124" s="430">
        <f t="shared" si="15"/>
        <v>-625</v>
      </c>
      <c r="E124" s="28" t="s">
        <v>163</v>
      </c>
      <c r="F124" s="431">
        <f t="shared" si="9"/>
        <v>77925.972500000047</v>
      </c>
      <c r="G124" s="302"/>
      <c r="H124" s="302">
        <v>5540</v>
      </c>
      <c r="I124" s="303">
        <f>C124</f>
        <v>625</v>
      </c>
      <c r="J124" s="302"/>
      <c r="K124" s="298"/>
      <c r="U124" s="304"/>
      <c r="V124" s="305"/>
      <c r="W124" s="242"/>
      <c r="X124" s="242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>
        <f>SUM(I124)</f>
        <v>625</v>
      </c>
      <c r="AO124" s="242"/>
      <c r="AP124" s="242"/>
      <c r="AQ124" s="242"/>
      <c r="AR124" s="242"/>
      <c r="AS124" s="242"/>
      <c r="AX124" s="293"/>
      <c r="AY124" s="304">
        <f t="shared" si="12"/>
        <v>0</v>
      </c>
    </row>
    <row r="125" spans="1:51" s="300" customFormat="1" ht="14.25" customHeight="1" x14ac:dyDescent="0.2">
      <c r="A125" s="290">
        <v>5</v>
      </c>
      <c r="B125" s="432" t="s">
        <v>162</v>
      </c>
      <c r="C125" s="433">
        <v>60</v>
      </c>
      <c r="D125" s="430">
        <f t="shared" si="15"/>
        <v>-60</v>
      </c>
      <c r="E125" s="28" t="s">
        <v>161</v>
      </c>
      <c r="F125" s="431">
        <f t="shared" si="9"/>
        <v>77865.972500000047</v>
      </c>
      <c r="G125" s="302"/>
      <c r="H125" s="302">
        <v>7850</v>
      </c>
      <c r="I125" s="303">
        <f>C125</f>
        <v>60</v>
      </c>
      <c r="J125" s="302"/>
      <c r="K125" s="298"/>
      <c r="L125" s="278"/>
      <c r="M125" s="278"/>
      <c r="N125" s="278"/>
      <c r="O125" s="278"/>
      <c r="P125" s="278"/>
      <c r="Q125" s="278"/>
      <c r="R125" s="278"/>
      <c r="S125" s="278"/>
      <c r="T125" s="278"/>
      <c r="U125" s="304">
        <f>SUM(I125)</f>
        <v>60</v>
      </c>
      <c r="V125" s="305"/>
      <c r="W125" s="242"/>
      <c r="X125" s="242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  <c r="AR125" s="242"/>
      <c r="AS125" s="242"/>
      <c r="AT125" s="278"/>
      <c r="AU125" s="278"/>
      <c r="AV125" s="278"/>
      <c r="AW125" s="278"/>
      <c r="AX125" s="293"/>
      <c r="AY125" s="304">
        <f t="shared" si="12"/>
        <v>0</v>
      </c>
    </row>
    <row r="126" spans="1:51" s="300" customFormat="1" ht="14.25" customHeight="1" x14ac:dyDescent="0.2">
      <c r="A126" s="321">
        <v>5</v>
      </c>
      <c r="B126" s="455" t="s">
        <v>160</v>
      </c>
      <c r="C126" s="45">
        <v>1833.35</v>
      </c>
      <c r="D126" s="442">
        <f t="shared" si="15"/>
        <v>-1833.35</v>
      </c>
      <c r="E126" s="47" t="s">
        <v>159</v>
      </c>
      <c r="F126" s="431">
        <f t="shared" si="9"/>
        <v>76032.622500000041</v>
      </c>
      <c r="G126" s="306"/>
      <c r="H126" s="302">
        <v>6590</v>
      </c>
      <c r="I126" s="303">
        <f>C126</f>
        <v>1833.35</v>
      </c>
      <c r="J126" s="302"/>
      <c r="K126" s="298"/>
      <c r="L126" s="278"/>
      <c r="M126" s="278"/>
      <c r="N126" s="278"/>
      <c r="O126" s="278"/>
      <c r="P126" s="278"/>
      <c r="Q126" s="278"/>
      <c r="R126" s="278"/>
      <c r="S126" s="278"/>
      <c r="T126" s="278"/>
      <c r="U126" s="304"/>
      <c r="V126" s="305"/>
      <c r="W126" s="242"/>
      <c r="X126" s="242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78"/>
      <c r="AP126" s="242">
        <f>SUM(I126)</f>
        <v>1833.35</v>
      </c>
      <c r="AQ126" s="242"/>
      <c r="AR126" s="242"/>
      <c r="AS126" s="242"/>
      <c r="AT126" s="278"/>
      <c r="AU126" s="278"/>
      <c r="AV126" s="278"/>
      <c r="AW126" s="278"/>
      <c r="AX126" s="293"/>
      <c r="AY126" s="304">
        <f t="shared" si="12"/>
        <v>0</v>
      </c>
    </row>
    <row r="127" spans="1:51" s="300" customFormat="1" ht="14.25" customHeight="1" x14ac:dyDescent="0.2">
      <c r="A127" s="290">
        <v>5</v>
      </c>
      <c r="B127" s="432" t="s">
        <v>155</v>
      </c>
      <c r="C127" s="433">
        <f>SUM(C121)</f>
        <v>18100</v>
      </c>
      <c r="D127" s="430">
        <f t="shared" si="15"/>
        <v>-18100</v>
      </c>
      <c r="E127" s="28" t="s">
        <v>154</v>
      </c>
      <c r="F127" s="431">
        <f t="shared" si="9"/>
        <v>57932.622500000041</v>
      </c>
      <c r="G127" s="302"/>
      <c r="H127" s="302">
        <v>8570</v>
      </c>
      <c r="I127" s="313">
        <v>1375</v>
      </c>
      <c r="J127" s="302" t="s">
        <v>207</v>
      </c>
      <c r="K127" s="298" t="s">
        <v>207</v>
      </c>
      <c r="L127" s="278">
        <v>8510</v>
      </c>
      <c r="M127" s="298">
        <v>13600</v>
      </c>
      <c r="N127" s="314">
        <v>8250</v>
      </c>
      <c r="O127" s="298">
        <v>1000</v>
      </c>
      <c r="P127" s="314">
        <v>8530</v>
      </c>
      <c r="Q127" s="315">
        <v>2000</v>
      </c>
      <c r="R127" s="314">
        <v>8590</v>
      </c>
      <c r="S127" s="298">
        <v>125</v>
      </c>
      <c r="T127" s="316">
        <f>SUM(I127+M127+O127+Q127+S127)</f>
        <v>18100</v>
      </c>
      <c r="U127" s="304"/>
      <c r="V127" s="305"/>
      <c r="W127" s="242"/>
      <c r="X127" s="242"/>
      <c r="Y127" s="242"/>
      <c r="Z127" s="242"/>
      <c r="AA127" s="242"/>
      <c r="AB127" s="242"/>
      <c r="AC127" s="242"/>
      <c r="AD127" s="242"/>
      <c r="AE127" s="242"/>
      <c r="AF127" s="242"/>
      <c r="AG127" s="242">
        <f>SUM(I127)</f>
        <v>1375</v>
      </c>
      <c r="AH127" s="242">
        <f>SUM(M127)</f>
        <v>13600</v>
      </c>
      <c r="AI127" s="242">
        <f>SUM(O127)</f>
        <v>1000</v>
      </c>
      <c r="AJ127" s="242">
        <f>SUM(Q127)</f>
        <v>2000</v>
      </c>
      <c r="AK127" s="242">
        <f>SUM(S127)</f>
        <v>125</v>
      </c>
      <c r="AL127" s="242"/>
      <c r="AM127" s="242"/>
      <c r="AN127" s="242"/>
      <c r="AO127" s="242"/>
      <c r="AP127" s="242"/>
      <c r="AQ127" s="242"/>
      <c r="AR127" s="242"/>
      <c r="AS127" s="242"/>
      <c r="AT127" s="278"/>
      <c r="AU127" s="278"/>
      <c r="AV127" s="278"/>
      <c r="AW127" s="278"/>
      <c r="AX127" s="293"/>
      <c r="AY127" s="304">
        <f t="shared" si="12"/>
        <v>0</v>
      </c>
    </row>
    <row r="128" spans="1:51" s="300" customFormat="1" ht="14.25" customHeight="1" x14ac:dyDescent="0.2">
      <c r="A128" s="290">
        <v>5</v>
      </c>
      <c r="B128" s="432" t="s">
        <v>153</v>
      </c>
      <c r="C128" s="433">
        <v>100</v>
      </c>
      <c r="D128" s="430">
        <f t="shared" si="15"/>
        <v>-100</v>
      </c>
      <c r="E128" s="28" t="s">
        <v>152</v>
      </c>
      <c r="F128" s="431">
        <f t="shared" si="9"/>
        <v>57832.622500000041</v>
      </c>
      <c r="G128" s="302"/>
      <c r="H128" s="302">
        <v>7850</v>
      </c>
      <c r="I128" s="303">
        <f>C128</f>
        <v>100</v>
      </c>
      <c r="J128" s="302"/>
      <c r="K128" s="298"/>
      <c r="L128" s="278"/>
      <c r="M128" s="278"/>
      <c r="N128" s="278"/>
      <c r="O128" s="278"/>
      <c r="P128" s="278"/>
      <c r="Q128" s="278"/>
      <c r="R128" s="278"/>
      <c r="S128" s="278"/>
      <c r="T128" s="278"/>
      <c r="U128" s="304">
        <f>SUM(I128)</f>
        <v>100</v>
      </c>
      <c r="V128" s="305"/>
      <c r="W128" s="242"/>
      <c r="X128" s="242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  <c r="AR128" s="242"/>
      <c r="AS128" s="242"/>
      <c r="AT128" s="278"/>
      <c r="AU128" s="278"/>
      <c r="AV128" s="278"/>
      <c r="AW128" s="278"/>
      <c r="AX128" s="293"/>
      <c r="AY128" s="304">
        <f t="shared" si="12"/>
        <v>0</v>
      </c>
    </row>
    <row r="129" spans="1:51" s="300" customFormat="1" ht="14.25" customHeight="1" x14ac:dyDescent="0.2">
      <c r="A129" s="290">
        <v>5</v>
      </c>
      <c r="B129" s="40" t="s">
        <v>266</v>
      </c>
      <c r="C129" s="433">
        <f>SUM('CCD - Mnthly Bills'!C20)</f>
        <v>1523.3625000000002</v>
      </c>
      <c r="D129" s="430">
        <f t="shared" si="15"/>
        <v>-1523.3625000000002</v>
      </c>
      <c r="E129" s="28" t="s">
        <v>268</v>
      </c>
      <c r="F129" s="431">
        <f t="shared" si="9"/>
        <v>56309.260000000038</v>
      </c>
      <c r="G129" s="302"/>
      <c r="H129" s="589" t="s">
        <v>264</v>
      </c>
      <c r="I129" s="589"/>
      <c r="J129" s="302"/>
      <c r="K129" s="298"/>
      <c r="L129" s="278"/>
      <c r="M129" s="278"/>
      <c r="N129" s="278"/>
      <c r="O129" s="278"/>
      <c r="P129" s="278"/>
      <c r="Q129" s="278"/>
      <c r="R129" s="278"/>
      <c r="S129" s="278"/>
      <c r="T129" s="278"/>
      <c r="U129" s="304"/>
      <c r="V129" s="305"/>
      <c r="W129" s="242">
        <f>SUM(W101)</f>
        <v>104.73750000000001</v>
      </c>
      <c r="X129" s="242"/>
      <c r="Y129" s="242">
        <f>SUM(Y101)</f>
        <v>778.6875</v>
      </c>
      <c r="Z129" s="242"/>
      <c r="AA129" s="242">
        <f>SUM(AA101)</f>
        <v>375</v>
      </c>
      <c r="AB129" s="242"/>
      <c r="AC129" s="242"/>
      <c r="AD129" s="242">
        <f>SUM(AD101)</f>
        <v>90</v>
      </c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>
        <f>SUM(AQ101)</f>
        <v>111.1875</v>
      </c>
      <c r="AR129" s="242">
        <f>SUM(AR101)</f>
        <v>63.75</v>
      </c>
      <c r="AS129" s="242"/>
      <c r="AT129" s="278"/>
      <c r="AU129" s="278"/>
      <c r="AV129" s="278"/>
      <c r="AW129" s="278"/>
      <c r="AX129" s="293"/>
      <c r="AY129" s="304">
        <f t="shared" si="12"/>
        <v>0</v>
      </c>
    </row>
    <row r="130" spans="1:51" s="300" customFormat="1" ht="14.25" customHeight="1" x14ac:dyDescent="0.2">
      <c r="A130" s="290">
        <v>5</v>
      </c>
      <c r="B130" s="432" t="s">
        <v>150</v>
      </c>
      <c r="C130" s="433">
        <v>458.65</v>
      </c>
      <c r="D130" s="430">
        <f t="shared" si="15"/>
        <v>-458.65</v>
      </c>
      <c r="E130" s="28" t="s">
        <v>149</v>
      </c>
      <c r="F130" s="431">
        <f t="shared" si="9"/>
        <v>55850.610000000037</v>
      </c>
      <c r="G130" s="302"/>
      <c r="H130" s="302">
        <v>7910</v>
      </c>
      <c r="I130" s="303">
        <f t="shared" ref="I130:I137" si="18">C130</f>
        <v>458.65</v>
      </c>
      <c r="J130" s="302"/>
      <c r="K130" s="298"/>
      <c r="L130" s="278"/>
      <c r="M130" s="278"/>
      <c r="N130" s="278"/>
      <c r="O130" s="278"/>
      <c r="P130" s="278"/>
      <c r="Q130" s="278"/>
      <c r="R130" s="278"/>
      <c r="S130" s="278"/>
      <c r="T130" s="278"/>
      <c r="U130" s="304"/>
      <c r="V130" s="305">
        <f>SUM(I130)</f>
        <v>458.65</v>
      </c>
      <c r="W130" s="242"/>
      <c r="X130" s="242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  <c r="AR130" s="242"/>
      <c r="AS130" s="242"/>
      <c r="AT130" s="278"/>
      <c r="AU130" s="278"/>
      <c r="AV130" s="278"/>
      <c r="AW130" s="278"/>
      <c r="AX130" s="293"/>
      <c r="AY130" s="304">
        <f t="shared" si="12"/>
        <v>0</v>
      </c>
    </row>
    <row r="131" spans="1:51" s="300" customFormat="1" ht="14.25" customHeight="1" x14ac:dyDescent="0.2">
      <c r="A131" s="290">
        <v>5</v>
      </c>
      <c r="B131" s="432" t="s">
        <v>148</v>
      </c>
      <c r="C131" s="433">
        <v>150</v>
      </c>
      <c r="D131" s="430">
        <f t="shared" si="15"/>
        <v>-150</v>
      </c>
      <c r="E131" s="28" t="s">
        <v>147</v>
      </c>
      <c r="F131" s="431">
        <f t="shared" si="9"/>
        <v>55700.610000000037</v>
      </c>
      <c r="G131" s="302"/>
      <c r="H131" s="302">
        <v>7950</v>
      </c>
      <c r="I131" s="303">
        <f t="shared" si="18"/>
        <v>150</v>
      </c>
      <c r="J131" s="302"/>
      <c r="K131" s="298"/>
      <c r="L131" s="278"/>
      <c r="M131" s="278"/>
      <c r="N131" s="278"/>
      <c r="O131" s="278"/>
      <c r="P131" s="278"/>
      <c r="Q131" s="278"/>
      <c r="R131" s="278"/>
      <c r="S131" s="278"/>
      <c r="T131" s="278"/>
      <c r="U131" s="304"/>
      <c r="V131" s="305"/>
      <c r="W131" s="242">
        <f>SUM(I131)</f>
        <v>150</v>
      </c>
      <c r="X131" s="242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  <c r="AR131" s="242"/>
      <c r="AS131" s="242"/>
      <c r="AT131" s="278"/>
      <c r="AU131" s="278"/>
      <c r="AV131" s="278"/>
      <c r="AW131" s="278"/>
      <c r="AX131" s="293"/>
      <c r="AY131" s="304">
        <f t="shared" si="12"/>
        <v>0</v>
      </c>
    </row>
    <row r="132" spans="1:51" s="300" customFormat="1" ht="14.25" customHeight="1" x14ac:dyDescent="0.2">
      <c r="A132" s="290">
        <v>5</v>
      </c>
      <c r="B132" s="432" t="s">
        <v>146</v>
      </c>
      <c r="C132" s="433">
        <v>149.99</v>
      </c>
      <c r="D132" s="430">
        <f t="shared" si="15"/>
        <v>-149.99</v>
      </c>
      <c r="E132" s="28" t="s">
        <v>145</v>
      </c>
      <c r="F132" s="431">
        <f t="shared" si="9"/>
        <v>55550.620000000039</v>
      </c>
      <c r="G132" s="302"/>
      <c r="H132" s="302">
        <v>7950</v>
      </c>
      <c r="I132" s="303">
        <f t="shared" si="18"/>
        <v>149.99</v>
      </c>
      <c r="J132" s="302"/>
      <c r="K132" s="298"/>
      <c r="L132" s="278"/>
      <c r="M132" s="278"/>
      <c r="N132" s="278"/>
      <c r="O132" s="278"/>
      <c r="P132" s="278"/>
      <c r="Q132" s="278"/>
      <c r="R132" s="278"/>
      <c r="S132" s="278"/>
      <c r="T132" s="278"/>
      <c r="U132" s="304"/>
      <c r="V132" s="305"/>
      <c r="W132" s="242">
        <f>SUM(I132)</f>
        <v>149.99</v>
      </c>
      <c r="X132" s="242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  <c r="AR132" s="242"/>
      <c r="AS132" s="242"/>
      <c r="AT132" s="278"/>
      <c r="AU132" s="278"/>
      <c r="AV132" s="278"/>
      <c r="AW132" s="278"/>
      <c r="AX132" s="293"/>
      <c r="AY132" s="304">
        <f t="shared" si="12"/>
        <v>0</v>
      </c>
    </row>
    <row r="133" spans="1:51" s="300" customFormat="1" ht="14.25" customHeight="1" x14ac:dyDescent="0.2">
      <c r="A133" s="290">
        <v>5</v>
      </c>
      <c r="B133" s="432" t="s">
        <v>144</v>
      </c>
      <c r="C133" s="433">
        <v>300</v>
      </c>
      <c r="D133" s="430">
        <f t="shared" si="15"/>
        <v>-300</v>
      </c>
      <c r="E133" s="28" t="s">
        <v>138</v>
      </c>
      <c r="F133" s="431">
        <f t="shared" si="9"/>
        <v>55250.620000000039</v>
      </c>
      <c r="G133" s="302"/>
      <c r="H133" s="302">
        <v>7950</v>
      </c>
      <c r="I133" s="303">
        <f t="shared" si="18"/>
        <v>300</v>
      </c>
      <c r="J133" s="302"/>
      <c r="K133" s="298"/>
      <c r="L133" s="278"/>
      <c r="M133" s="278"/>
      <c r="N133" s="278"/>
      <c r="O133" s="278"/>
      <c r="P133" s="278"/>
      <c r="Q133" s="278"/>
      <c r="R133" s="278"/>
      <c r="S133" s="278"/>
      <c r="T133" s="278"/>
      <c r="U133" s="304"/>
      <c r="V133" s="305"/>
      <c r="W133" s="242">
        <f>SUM(I133)</f>
        <v>300</v>
      </c>
      <c r="X133" s="242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  <c r="AR133" s="242"/>
      <c r="AS133" s="242"/>
      <c r="AT133" s="278"/>
      <c r="AU133" s="278"/>
      <c r="AV133" s="278"/>
      <c r="AW133" s="278"/>
      <c r="AX133" s="293"/>
      <c r="AY133" s="304">
        <f t="shared" si="12"/>
        <v>0</v>
      </c>
    </row>
    <row r="134" spans="1:51" s="300" customFormat="1" ht="14.25" customHeight="1" x14ac:dyDescent="0.2">
      <c r="A134" s="290">
        <v>5</v>
      </c>
      <c r="B134" s="40" t="s">
        <v>143</v>
      </c>
      <c r="C134" s="433">
        <v>75</v>
      </c>
      <c r="D134" s="430">
        <f t="shared" si="15"/>
        <v>-75</v>
      </c>
      <c r="E134" s="28" t="s">
        <v>138</v>
      </c>
      <c r="F134" s="431">
        <f t="shared" si="9"/>
        <v>55175.620000000039</v>
      </c>
      <c r="G134" s="302"/>
      <c r="H134" s="302">
        <v>7950</v>
      </c>
      <c r="I134" s="303">
        <f t="shared" si="18"/>
        <v>75</v>
      </c>
      <c r="J134" s="302"/>
      <c r="K134" s="298"/>
      <c r="L134" s="278"/>
      <c r="M134" s="278"/>
      <c r="N134" s="278"/>
      <c r="O134" s="278"/>
      <c r="P134" s="278"/>
      <c r="Q134" s="278"/>
      <c r="R134" s="278"/>
      <c r="S134" s="278"/>
      <c r="T134" s="278"/>
      <c r="U134" s="304"/>
      <c r="V134" s="305"/>
      <c r="W134" s="242">
        <f>SUM(I134)</f>
        <v>75</v>
      </c>
      <c r="X134" s="242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  <c r="AR134" s="242"/>
      <c r="AS134" s="242"/>
      <c r="AT134" s="278"/>
      <c r="AU134" s="278"/>
      <c r="AV134" s="278"/>
      <c r="AW134" s="278"/>
      <c r="AX134" s="293"/>
      <c r="AY134" s="304">
        <f t="shared" si="12"/>
        <v>0</v>
      </c>
    </row>
    <row r="135" spans="1:51" s="300" customFormat="1" ht="14.25" customHeight="1" x14ac:dyDescent="0.2">
      <c r="A135" s="290">
        <v>5</v>
      </c>
      <c r="B135" s="432" t="s">
        <v>142</v>
      </c>
      <c r="C135" s="433">
        <v>2500</v>
      </c>
      <c r="D135" s="430">
        <f t="shared" si="15"/>
        <v>-2500</v>
      </c>
      <c r="E135" s="28" t="s">
        <v>140</v>
      </c>
      <c r="F135" s="431">
        <f t="shared" ref="F135:F167" si="19">SUM(F134+D135)</f>
        <v>52675.620000000039</v>
      </c>
      <c r="G135" s="302"/>
      <c r="H135" s="302">
        <v>5710</v>
      </c>
      <c r="I135" s="303">
        <f t="shared" si="18"/>
        <v>2500</v>
      </c>
      <c r="J135" s="302"/>
      <c r="K135" s="298"/>
      <c r="L135" s="278"/>
      <c r="M135" s="278"/>
      <c r="N135" s="278"/>
      <c r="O135" s="278"/>
      <c r="P135" s="278"/>
      <c r="Q135" s="278"/>
      <c r="R135" s="278"/>
      <c r="S135" s="278"/>
      <c r="T135" s="278"/>
      <c r="U135" s="304"/>
      <c r="V135" s="305"/>
      <c r="W135" s="242"/>
      <c r="X135" s="242"/>
      <c r="Y135" s="242"/>
      <c r="Z135" s="242">
        <f>SUM(I135)</f>
        <v>2500</v>
      </c>
      <c r="AA135" s="242"/>
      <c r="AB135" s="242"/>
      <c r="AC135" s="242"/>
      <c r="AD135" s="242"/>
      <c r="AE135" s="242"/>
      <c r="AF135" s="242"/>
      <c r="AG135" s="242"/>
      <c r="AH135" s="242"/>
      <c r="AI135" s="242"/>
      <c r="AJ135" s="242"/>
      <c r="AK135" s="242"/>
      <c r="AL135" s="242"/>
      <c r="AM135" s="242"/>
      <c r="AN135" s="242"/>
      <c r="AO135" s="242"/>
      <c r="AP135" s="242"/>
      <c r="AQ135" s="242"/>
      <c r="AR135" s="242"/>
      <c r="AS135" s="242"/>
      <c r="AT135" s="278"/>
      <c r="AU135" s="278"/>
      <c r="AV135" s="278"/>
      <c r="AW135" s="278"/>
      <c r="AX135" s="293"/>
      <c r="AY135" s="304">
        <f t="shared" si="12"/>
        <v>0</v>
      </c>
    </row>
    <row r="136" spans="1:51" s="300" customFormat="1" ht="14.25" customHeight="1" x14ac:dyDescent="0.2">
      <c r="A136" s="290">
        <v>5</v>
      </c>
      <c r="B136" s="432" t="s">
        <v>141</v>
      </c>
      <c r="C136" s="433">
        <v>1080</v>
      </c>
      <c r="D136" s="430">
        <f t="shared" si="15"/>
        <v>-1080</v>
      </c>
      <c r="E136" s="28" t="s">
        <v>140</v>
      </c>
      <c r="F136" s="431">
        <f t="shared" si="19"/>
        <v>51595.620000000039</v>
      </c>
      <c r="G136" s="302"/>
      <c r="H136" s="302">
        <v>6730</v>
      </c>
      <c r="I136" s="303">
        <f t="shared" si="18"/>
        <v>1080</v>
      </c>
      <c r="J136" s="302"/>
      <c r="K136" s="298"/>
      <c r="L136" s="278"/>
      <c r="M136" s="278"/>
      <c r="N136" s="278"/>
      <c r="O136" s="278"/>
      <c r="P136" s="278"/>
      <c r="Q136" s="278"/>
      <c r="R136" s="278"/>
      <c r="S136" s="278"/>
      <c r="T136" s="278"/>
      <c r="U136" s="304"/>
      <c r="V136" s="305"/>
      <c r="W136" s="242"/>
      <c r="X136" s="242">
        <f>SUM(I136)</f>
        <v>1080</v>
      </c>
      <c r="Y136" s="242"/>
      <c r="Z136" s="242"/>
      <c r="AA136" s="242"/>
      <c r="AB136" s="242"/>
      <c r="AC136" s="242"/>
      <c r="AD136" s="242"/>
      <c r="AE136" s="242"/>
      <c r="AF136" s="242"/>
      <c r="AG136" s="242"/>
      <c r="AH136" s="242"/>
      <c r="AI136" s="242"/>
      <c r="AJ136" s="242"/>
      <c r="AK136" s="242"/>
      <c r="AL136" s="242"/>
      <c r="AM136" s="242"/>
      <c r="AN136" s="242"/>
      <c r="AO136" s="242"/>
      <c r="AP136" s="242"/>
      <c r="AQ136" s="242"/>
      <c r="AR136" s="242"/>
      <c r="AS136" s="242"/>
      <c r="AT136" s="278"/>
      <c r="AU136" s="278"/>
      <c r="AV136" s="278"/>
      <c r="AW136" s="278"/>
      <c r="AX136" s="293"/>
      <c r="AY136" s="304">
        <f t="shared" si="12"/>
        <v>0</v>
      </c>
    </row>
    <row r="137" spans="1:51" s="300" customFormat="1" ht="14.25" customHeight="1" thickBot="1" x14ac:dyDescent="0.25">
      <c r="A137" s="290">
        <v>5</v>
      </c>
      <c r="B137" s="432" t="s">
        <v>139</v>
      </c>
      <c r="C137" s="433">
        <v>750</v>
      </c>
      <c r="D137" s="430">
        <f t="shared" si="15"/>
        <v>-750</v>
      </c>
      <c r="E137" s="28" t="s">
        <v>138</v>
      </c>
      <c r="F137" s="431">
        <f t="shared" si="19"/>
        <v>50845.620000000039</v>
      </c>
      <c r="G137" s="302"/>
      <c r="H137" s="302">
        <v>7010</v>
      </c>
      <c r="I137" s="303">
        <f t="shared" si="18"/>
        <v>750</v>
      </c>
      <c r="J137" s="302"/>
      <c r="K137" s="298"/>
      <c r="L137" s="278"/>
      <c r="M137" s="278"/>
      <c r="N137" s="278"/>
      <c r="O137" s="278"/>
      <c r="P137" s="278"/>
      <c r="Q137" s="278"/>
      <c r="R137" s="278"/>
      <c r="S137" s="278"/>
      <c r="T137" s="278"/>
      <c r="U137" s="307"/>
      <c r="V137" s="308"/>
      <c r="W137" s="308"/>
      <c r="X137" s="308"/>
      <c r="Y137" s="309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9"/>
      <c r="AU137" s="309"/>
      <c r="AV137" s="309"/>
      <c r="AW137" s="308">
        <f>SUM(I137)</f>
        <v>750</v>
      </c>
      <c r="AX137" s="344"/>
      <c r="AY137" s="307">
        <f t="shared" si="12"/>
        <v>0</v>
      </c>
    </row>
    <row r="138" spans="1:51" s="300" customFormat="1" ht="14.25" customHeight="1" x14ac:dyDescent="0.2">
      <c r="A138" s="290"/>
      <c r="B138" s="432"/>
      <c r="C138" s="433"/>
      <c r="D138" s="430"/>
      <c r="E138" s="463" t="s">
        <v>286</v>
      </c>
      <c r="F138" s="431">
        <f t="shared" si="19"/>
        <v>50845.620000000039</v>
      </c>
      <c r="G138" s="302"/>
      <c r="H138" s="302"/>
      <c r="I138" s="303"/>
      <c r="J138" s="302"/>
      <c r="K138" s="298"/>
      <c r="L138" s="278"/>
      <c r="M138" s="278"/>
      <c r="N138" s="278"/>
      <c r="O138" s="278"/>
      <c r="P138" s="278"/>
      <c r="Q138" s="278"/>
      <c r="R138" s="278"/>
      <c r="S138" s="278"/>
      <c r="T138" s="278"/>
      <c r="U138" s="310">
        <f t="shared" ref="U138:AX138" si="20">SUM(U113:U137)</f>
        <v>294.95</v>
      </c>
      <c r="V138" s="311">
        <f t="shared" si="20"/>
        <v>708.65</v>
      </c>
      <c r="W138" s="311">
        <f t="shared" si="20"/>
        <v>779.72749999999996</v>
      </c>
      <c r="X138" s="311">
        <f t="shared" si="20"/>
        <v>1080</v>
      </c>
      <c r="Y138" s="311">
        <f t="shared" si="20"/>
        <v>778.6875</v>
      </c>
      <c r="Z138" s="311">
        <f t="shared" si="20"/>
        <v>2500</v>
      </c>
      <c r="AA138" s="311">
        <f t="shared" si="20"/>
        <v>375</v>
      </c>
      <c r="AB138" s="311">
        <f t="shared" si="20"/>
        <v>7500</v>
      </c>
      <c r="AC138" s="311">
        <f t="shared" si="20"/>
        <v>2350</v>
      </c>
      <c r="AD138" s="311">
        <f t="shared" si="20"/>
        <v>1674</v>
      </c>
      <c r="AE138" s="311">
        <f t="shared" si="20"/>
        <v>8333</v>
      </c>
      <c r="AF138" s="311">
        <f t="shared" si="20"/>
        <v>150</v>
      </c>
      <c r="AG138" s="311">
        <f t="shared" si="20"/>
        <v>2750</v>
      </c>
      <c r="AH138" s="311">
        <f t="shared" si="20"/>
        <v>27200</v>
      </c>
      <c r="AI138" s="311">
        <f t="shared" si="20"/>
        <v>2000</v>
      </c>
      <c r="AJ138" s="311">
        <f t="shared" si="20"/>
        <v>4000</v>
      </c>
      <c r="AK138" s="311">
        <f t="shared" si="20"/>
        <v>250</v>
      </c>
      <c r="AL138" s="311">
        <f t="shared" si="20"/>
        <v>0</v>
      </c>
      <c r="AM138" s="311">
        <f t="shared" si="20"/>
        <v>200</v>
      </c>
      <c r="AN138" s="311">
        <f t="shared" si="20"/>
        <v>625</v>
      </c>
      <c r="AO138" s="311">
        <f t="shared" si="20"/>
        <v>0</v>
      </c>
      <c r="AP138" s="311">
        <f t="shared" si="20"/>
        <v>1833.35</v>
      </c>
      <c r="AQ138" s="311">
        <f t="shared" si="20"/>
        <v>111.1875</v>
      </c>
      <c r="AR138" s="311">
        <f t="shared" si="20"/>
        <v>63.75</v>
      </c>
      <c r="AS138" s="311">
        <f t="shared" si="20"/>
        <v>0</v>
      </c>
      <c r="AT138" s="311">
        <f t="shared" si="20"/>
        <v>0</v>
      </c>
      <c r="AU138" s="311">
        <f t="shared" si="20"/>
        <v>0</v>
      </c>
      <c r="AV138" s="311">
        <f t="shared" si="20"/>
        <v>0</v>
      </c>
      <c r="AW138" s="311">
        <f t="shared" si="20"/>
        <v>750</v>
      </c>
      <c r="AX138" s="311">
        <f t="shared" si="20"/>
        <v>1750</v>
      </c>
      <c r="AY138" s="304"/>
    </row>
    <row r="139" spans="1:51" s="300" customFormat="1" ht="14.25" customHeight="1" x14ac:dyDescent="0.2">
      <c r="A139" s="290"/>
      <c r="B139" s="432"/>
      <c r="C139" s="433"/>
      <c r="D139" s="430"/>
      <c r="E139" s="28"/>
      <c r="F139" s="431">
        <f t="shared" si="19"/>
        <v>50845.620000000039</v>
      </c>
      <c r="G139" s="302"/>
      <c r="H139" s="302"/>
      <c r="I139" s="303"/>
      <c r="J139" s="302"/>
      <c r="K139" s="298"/>
      <c r="L139" s="278"/>
      <c r="M139" s="278"/>
      <c r="N139" s="278"/>
      <c r="O139" s="278"/>
      <c r="P139" s="278"/>
      <c r="Q139" s="278"/>
      <c r="R139" s="278"/>
      <c r="S139" s="278"/>
      <c r="T139" s="278"/>
      <c r="U139" s="304"/>
      <c r="V139" s="305"/>
      <c r="W139" s="242"/>
      <c r="X139" s="242"/>
      <c r="Y139" s="242"/>
      <c r="Z139" s="242"/>
      <c r="AA139" s="242"/>
      <c r="AB139" s="242"/>
      <c r="AC139" s="242"/>
      <c r="AD139" s="242"/>
      <c r="AE139" s="242"/>
      <c r="AF139" s="242"/>
      <c r="AG139" s="242"/>
      <c r="AH139" s="242"/>
      <c r="AI139" s="242"/>
      <c r="AJ139" s="242"/>
      <c r="AK139" s="242"/>
      <c r="AL139" s="242"/>
      <c r="AM139" s="242"/>
      <c r="AN139" s="242"/>
      <c r="AO139" s="242"/>
      <c r="AP139" s="242"/>
      <c r="AQ139" s="242"/>
      <c r="AR139" s="242"/>
      <c r="AS139" s="242"/>
      <c r="AT139" s="278"/>
      <c r="AU139" s="278"/>
      <c r="AV139" s="278"/>
      <c r="AW139" s="278"/>
      <c r="AX139" s="293"/>
      <c r="AY139" s="304"/>
    </row>
    <row r="140" spans="1:51" s="300" customFormat="1" ht="14.25" customHeight="1" x14ac:dyDescent="0.2">
      <c r="A140" s="290">
        <v>6</v>
      </c>
      <c r="B140" s="432" t="s">
        <v>177</v>
      </c>
      <c r="C140" s="433">
        <v>2000</v>
      </c>
      <c r="D140" s="430">
        <f t="shared" si="15"/>
        <v>-2000</v>
      </c>
      <c r="E140" s="28" t="s">
        <v>170</v>
      </c>
      <c r="F140" s="431">
        <f t="shared" si="19"/>
        <v>48845.620000000039</v>
      </c>
      <c r="G140" s="332"/>
      <c r="H140" s="302"/>
      <c r="I140" s="303"/>
      <c r="J140" s="302"/>
      <c r="K140" s="298"/>
      <c r="L140" s="278"/>
      <c r="M140" s="278"/>
      <c r="N140" s="278"/>
      <c r="O140" s="278"/>
      <c r="P140" s="278"/>
      <c r="Q140" s="278"/>
      <c r="R140" s="278"/>
      <c r="S140" s="278"/>
      <c r="T140" s="278"/>
      <c r="U140" s="304"/>
      <c r="V140" s="305">
        <v>250</v>
      </c>
      <c r="W140" s="242"/>
      <c r="X140" s="242"/>
      <c r="Y140" s="242"/>
      <c r="Z140" s="242"/>
      <c r="AA140" s="242"/>
      <c r="AB140" s="242"/>
      <c r="AC140" s="242"/>
      <c r="AD140" s="242"/>
      <c r="AE140" s="242"/>
      <c r="AF140" s="242"/>
      <c r="AG140" s="242"/>
      <c r="AH140" s="242"/>
      <c r="AI140" s="242"/>
      <c r="AJ140" s="242"/>
      <c r="AK140" s="242"/>
      <c r="AL140" s="242"/>
      <c r="AM140" s="242"/>
      <c r="AN140" s="242"/>
      <c r="AO140" s="242"/>
      <c r="AP140" s="242"/>
      <c r="AQ140" s="242"/>
      <c r="AR140" s="242"/>
      <c r="AS140" s="242"/>
      <c r="AT140" s="278"/>
      <c r="AU140" s="278"/>
      <c r="AV140" s="278"/>
      <c r="AW140" s="278"/>
      <c r="AX140" s="305">
        <v>1750</v>
      </c>
      <c r="AY140" s="304">
        <f t="shared" si="12"/>
        <v>0</v>
      </c>
    </row>
    <row r="141" spans="1:51" s="300" customFormat="1" ht="14.25" customHeight="1" x14ac:dyDescent="0.2">
      <c r="A141" s="290">
        <v>6</v>
      </c>
      <c r="B141" s="432" t="s">
        <v>176</v>
      </c>
      <c r="C141" s="433">
        <v>7500</v>
      </c>
      <c r="D141" s="430">
        <f t="shared" si="15"/>
        <v>-7500</v>
      </c>
      <c r="E141" s="28" t="s">
        <v>170</v>
      </c>
      <c r="F141" s="431">
        <f t="shared" si="19"/>
        <v>41345.620000000039</v>
      </c>
      <c r="G141" s="332"/>
      <c r="H141" s="302">
        <v>5510</v>
      </c>
      <c r="I141" s="303">
        <f>C141</f>
        <v>7500</v>
      </c>
      <c r="J141" s="302"/>
      <c r="K141" s="298"/>
      <c r="L141" s="278"/>
      <c r="M141" s="278"/>
      <c r="N141" s="278"/>
      <c r="O141" s="278"/>
      <c r="P141" s="278"/>
      <c r="Q141" s="278"/>
      <c r="R141" s="278"/>
      <c r="S141" s="278"/>
      <c r="T141" s="278"/>
      <c r="U141" s="304"/>
      <c r="V141" s="305"/>
      <c r="W141" s="242"/>
      <c r="X141" s="242"/>
      <c r="Y141" s="242"/>
      <c r="Z141" s="242"/>
      <c r="AA141" s="242"/>
      <c r="AB141" s="242">
        <f>SUM(I141)</f>
        <v>7500</v>
      </c>
      <c r="AC141" s="242"/>
      <c r="AD141" s="242"/>
      <c r="AE141" s="242"/>
      <c r="AF141" s="242"/>
      <c r="AG141" s="242"/>
      <c r="AH141" s="242"/>
      <c r="AI141" s="242"/>
      <c r="AJ141" s="242"/>
      <c r="AK141" s="242"/>
      <c r="AL141" s="242"/>
      <c r="AM141" s="242"/>
      <c r="AN141" s="242"/>
      <c r="AO141" s="242"/>
      <c r="AP141" s="242"/>
      <c r="AQ141" s="242"/>
      <c r="AR141" s="242"/>
      <c r="AS141" s="242"/>
      <c r="AT141" s="278"/>
      <c r="AU141" s="278"/>
      <c r="AV141" s="278"/>
      <c r="AW141" s="278"/>
      <c r="AX141" s="293"/>
      <c r="AY141" s="304">
        <f t="shared" si="12"/>
        <v>0</v>
      </c>
    </row>
    <row r="142" spans="1:51" s="300" customFormat="1" ht="14.25" customHeight="1" x14ac:dyDescent="0.2">
      <c r="A142" s="290">
        <v>6</v>
      </c>
      <c r="B142" s="432" t="s">
        <v>175</v>
      </c>
      <c r="C142" s="433">
        <v>550</v>
      </c>
      <c r="D142" s="430">
        <f t="shared" si="15"/>
        <v>-550</v>
      </c>
      <c r="E142" s="28" t="s">
        <v>170</v>
      </c>
      <c r="F142" s="431">
        <f t="shared" si="19"/>
        <v>40795.620000000039</v>
      </c>
      <c r="G142" s="332"/>
      <c r="H142" s="302">
        <v>7650</v>
      </c>
      <c r="I142" s="303">
        <f>C142</f>
        <v>550</v>
      </c>
      <c r="J142" s="302"/>
      <c r="K142" s="298"/>
      <c r="L142" s="278"/>
      <c r="M142" s="278"/>
      <c r="N142" s="278"/>
      <c r="O142" s="278"/>
      <c r="P142" s="278"/>
      <c r="Q142" s="278"/>
      <c r="R142" s="278"/>
      <c r="S142" s="278"/>
      <c r="T142" s="278"/>
      <c r="U142" s="304"/>
      <c r="V142" s="305"/>
      <c r="W142" s="242"/>
      <c r="X142" s="242"/>
      <c r="Y142" s="242"/>
      <c r="Z142" s="242"/>
      <c r="AA142" s="242"/>
      <c r="AB142" s="242"/>
      <c r="AC142" s="242">
        <f>SUM(I142)</f>
        <v>550</v>
      </c>
      <c r="AD142" s="242"/>
      <c r="AE142" s="242"/>
      <c r="AF142" s="242"/>
      <c r="AG142" s="242"/>
      <c r="AH142" s="242"/>
      <c r="AI142" s="242"/>
      <c r="AJ142" s="242"/>
      <c r="AK142" s="242"/>
      <c r="AL142" s="242"/>
      <c r="AM142" s="242"/>
      <c r="AN142" s="242"/>
      <c r="AO142" s="242"/>
      <c r="AP142" s="242"/>
      <c r="AQ142" s="242"/>
      <c r="AR142" s="242"/>
      <c r="AS142" s="242"/>
      <c r="AT142" s="278"/>
      <c r="AU142" s="278"/>
      <c r="AV142" s="278"/>
      <c r="AW142" s="278"/>
      <c r="AX142" s="293"/>
      <c r="AY142" s="304">
        <f t="shared" si="12"/>
        <v>0</v>
      </c>
    </row>
    <row r="143" spans="1:51" s="300" customFormat="1" ht="14.25" customHeight="1" x14ac:dyDescent="0.2">
      <c r="A143" s="290">
        <v>6</v>
      </c>
      <c r="B143" s="432" t="s">
        <v>174</v>
      </c>
      <c r="C143" s="433">
        <v>1800</v>
      </c>
      <c r="D143" s="430">
        <f t="shared" si="15"/>
        <v>-1800</v>
      </c>
      <c r="E143" s="28" t="s">
        <v>173</v>
      </c>
      <c r="F143" s="431">
        <f t="shared" si="19"/>
        <v>38995.620000000039</v>
      </c>
      <c r="G143" s="332"/>
      <c r="H143" s="302">
        <v>7650</v>
      </c>
      <c r="I143" s="303">
        <f>C143</f>
        <v>1800</v>
      </c>
      <c r="J143" s="302"/>
      <c r="K143" s="298"/>
      <c r="L143" s="278"/>
      <c r="M143" s="278"/>
      <c r="N143" s="278"/>
      <c r="O143" s="278"/>
      <c r="P143" s="278"/>
      <c r="Q143" s="278"/>
      <c r="R143" s="278"/>
      <c r="S143" s="278"/>
      <c r="T143" s="278"/>
      <c r="U143" s="304"/>
      <c r="V143" s="305"/>
      <c r="W143" s="242"/>
      <c r="X143" s="242"/>
      <c r="Y143" s="242"/>
      <c r="Z143" s="242"/>
      <c r="AA143" s="242"/>
      <c r="AB143" s="242"/>
      <c r="AC143" s="242">
        <f>SUM(I143)</f>
        <v>1800</v>
      </c>
      <c r="AD143" s="242"/>
      <c r="AE143" s="242"/>
      <c r="AF143" s="242"/>
      <c r="AG143" s="242"/>
      <c r="AH143" s="242"/>
      <c r="AI143" s="242"/>
      <c r="AJ143" s="242"/>
      <c r="AK143" s="242"/>
      <c r="AL143" s="242"/>
      <c r="AM143" s="242"/>
      <c r="AN143" s="242"/>
      <c r="AO143" s="242"/>
      <c r="AP143" s="242"/>
      <c r="AQ143" s="242"/>
      <c r="AR143" s="242"/>
      <c r="AS143" s="242"/>
      <c r="AT143" s="278"/>
      <c r="AU143" s="278"/>
      <c r="AV143" s="278"/>
      <c r="AW143" s="278"/>
      <c r="AX143" s="293"/>
      <c r="AY143" s="304">
        <f t="shared" si="12"/>
        <v>0</v>
      </c>
    </row>
    <row r="144" spans="1:51" s="300" customFormat="1" ht="14.25" customHeight="1" x14ac:dyDescent="0.2">
      <c r="A144" s="290">
        <v>6</v>
      </c>
      <c r="B144" s="432" t="s">
        <v>172</v>
      </c>
      <c r="C144" s="433">
        <v>9917</v>
      </c>
      <c r="D144" s="430">
        <f t="shared" si="15"/>
        <v>-9917</v>
      </c>
      <c r="E144" s="28" t="s">
        <v>170</v>
      </c>
      <c r="F144" s="431">
        <f t="shared" si="19"/>
        <v>29078.620000000039</v>
      </c>
      <c r="G144" s="332"/>
      <c r="H144" s="302">
        <v>5750</v>
      </c>
      <c r="I144" s="313">
        <v>1584</v>
      </c>
      <c r="J144" s="302">
        <v>5520</v>
      </c>
      <c r="K144" s="298">
        <v>8333</v>
      </c>
      <c r="L144" s="278"/>
      <c r="M144" s="278"/>
      <c r="N144" s="278"/>
      <c r="O144" s="278"/>
      <c r="P144" s="278"/>
      <c r="Q144" s="278"/>
      <c r="R144" s="278"/>
      <c r="S144" s="278"/>
      <c r="T144" s="278"/>
      <c r="U144" s="304"/>
      <c r="V144" s="305"/>
      <c r="W144" s="242"/>
      <c r="X144" s="242"/>
      <c r="Y144" s="242"/>
      <c r="Z144" s="242"/>
      <c r="AA144" s="242"/>
      <c r="AB144" s="242"/>
      <c r="AC144" s="242"/>
      <c r="AD144" s="242">
        <f>SUM(I144)</f>
        <v>1584</v>
      </c>
      <c r="AE144" s="242">
        <f>SUM(K144)</f>
        <v>8333</v>
      </c>
      <c r="AF144" s="242"/>
      <c r="AG144" s="242"/>
      <c r="AH144" s="242"/>
      <c r="AI144" s="242"/>
      <c r="AJ144" s="242"/>
      <c r="AK144" s="242"/>
      <c r="AL144" s="242"/>
      <c r="AM144" s="242"/>
      <c r="AN144" s="242"/>
      <c r="AO144" s="242"/>
      <c r="AP144" s="242"/>
      <c r="AQ144" s="242"/>
      <c r="AR144" s="242"/>
      <c r="AS144" s="242"/>
      <c r="AT144" s="278"/>
      <c r="AU144" s="278"/>
      <c r="AV144" s="278"/>
      <c r="AW144" s="278"/>
      <c r="AX144" s="293"/>
      <c r="AY144" s="304">
        <f t="shared" si="12"/>
        <v>0</v>
      </c>
    </row>
    <row r="145" spans="1:51" s="300" customFormat="1" ht="14.25" customHeight="1" x14ac:dyDescent="0.2">
      <c r="A145" s="290">
        <v>6</v>
      </c>
      <c r="B145" s="432" t="s">
        <v>171</v>
      </c>
      <c r="C145" s="433">
        <v>34.950000000000003</v>
      </c>
      <c r="D145" s="430">
        <f t="shared" si="15"/>
        <v>-34.950000000000003</v>
      </c>
      <c r="E145" s="28" t="s">
        <v>170</v>
      </c>
      <c r="F145" s="431">
        <f t="shared" si="19"/>
        <v>29043.670000000038</v>
      </c>
      <c r="G145" s="332"/>
      <c r="H145" s="302">
        <v>7850</v>
      </c>
      <c r="I145" s="303">
        <f>C145</f>
        <v>34.950000000000003</v>
      </c>
      <c r="J145" s="302"/>
      <c r="K145" s="298"/>
      <c r="L145" s="278"/>
      <c r="M145" s="278"/>
      <c r="N145" s="278"/>
      <c r="O145" s="278"/>
      <c r="P145" s="278"/>
      <c r="Q145" s="278"/>
      <c r="R145" s="278"/>
      <c r="S145" s="278"/>
      <c r="T145" s="278"/>
      <c r="U145" s="304">
        <f>SUM(I145)</f>
        <v>34.950000000000003</v>
      </c>
      <c r="V145" s="305"/>
      <c r="W145" s="242"/>
      <c r="X145" s="242"/>
      <c r="Y145" s="242"/>
      <c r="Z145" s="242"/>
      <c r="AA145" s="242"/>
      <c r="AB145" s="242"/>
      <c r="AC145" s="242"/>
      <c r="AD145" s="242"/>
      <c r="AE145" s="242"/>
      <c r="AF145" s="242"/>
      <c r="AG145" s="242"/>
      <c r="AH145" s="242"/>
      <c r="AI145" s="242"/>
      <c r="AJ145" s="242"/>
      <c r="AK145" s="242"/>
      <c r="AL145" s="242"/>
      <c r="AM145" s="242"/>
      <c r="AN145" s="242"/>
      <c r="AO145" s="242"/>
      <c r="AP145" s="242"/>
      <c r="AQ145" s="242"/>
      <c r="AR145" s="242"/>
      <c r="AS145" s="242"/>
      <c r="AT145" s="278"/>
      <c r="AU145" s="278"/>
      <c r="AV145" s="278"/>
      <c r="AW145" s="278"/>
      <c r="AX145" s="293"/>
      <c r="AY145" s="304">
        <f t="shared" si="12"/>
        <v>0</v>
      </c>
    </row>
    <row r="146" spans="1:51" s="300" customFormat="1" ht="14.25" customHeight="1" x14ac:dyDescent="0.2">
      <c r="A146" s="290">
        <v>6</v>
      </c>
      <c r="B146" s="432" t="s">
        <v>169</v>
      </c>
      <c r="C146" s="433">
        <v>150</v>
      </c>
      <c r="D146" s="430">
        <f t="shared" si="15"/>
        <v>-150</v>
      </c>
      <c r="E146" s="28" t="s">
        <v>168</v>
      </c>
      <c r="F146" s="431">
        <f t="shared" si="19"/>
        <v>28893.670000000038</v>
      </c>
      <c r="G146" s="332"/>
      <c r="H146" s="302">
        <v>7090</v>
      </c>
      <c r="I146" s="303">
        <f>C146</f>
        <v>150</v>
      </c>
      <c r="J146" s="302"/>
      <c r="K146" s="298"/>
      <c r="L146" s="278"/>
      <c r="M146" s="278"/>
      <c r="N146" s="278"/>
      <c r="O146" s="278"/>
      <c r="P146" s="278"/>
      <c r="Q146" s="278"/>
      <c r="R146" s="278"/>
      <c r="S146" s="278"/>
      <c r="T146" s="278"/>
      <c r="U146" s="304"/>
      <c r="V146" s="305"/>
      <c r="W146" s="242"/>
      <c r="X146" s="242"/>
      <c r="Y146" s="242"/>
      <c r="Z146" s="242"/>
      <c r="AA146" s="242"/>
      <c r="AB146" s="242"/>
      <c r="AC146" s="242"/>
      <c r="AD146" s="242"/>
      <c r="AE146" s="242"/>
      <c r="AF146" s="242">
        <f>SUM(I146)</f>
        <v>150</v>
      </c>
      <c r="AG146" s="242"/>
      <c r="AH146" s="242"/>
      <c r="AI146" s="242"/>
      <c r="AJ146" s="242"/>
      <c r="AK146" s="242"/>
      <c r="AL146" s="242"/>
      <c r="AM146" s="242"/>
      <c r="AN146" s="242"/>
      <c r="AO146" s="242"/>
      <c r="AP146" s="242"/>
      <c r="AQ146" s="242"/>
      <c r="AR146" s="242"/>
      <c r="AS146" s="242"/>
      <c r="AT146" s="278"/>
      <c r="AU146" s="278"/>
      <c r="AV146" s="278"/>
      <c r="AW146" s="278"/>
      <c r="AX146" s="293"/>
      <c r="AY146" s="304">
        <f t="shared" si="12"/>
        <v>0</v>
      </c>
    </row>
    <row r="147" spans="1:51" s="300" customFormat="1" ht="14.25" customHeight="1" x14ac:dyDescent="0.2">
      <c r="A147" s="290">
        <v>6</v>
      </c>
      <c r="B147" s="432" t="s">
        <v>155</v>
      </c>
      <c r="C147" s="433">
        <f>SUM(C127)</f>
        <v>18100</v>
      </c>
      <c r="D147" s="430">
        <f t="shared" si="15"/>
        <v>-18100</v>
      </c>
      <c r="E147" s="28" t="s">
        <v>167</v>
      </c>
      <c r="F147" s="431">
        <f t="shared" si="19"/>
        <v>10793.670000000038</v>
      </c>
      <c r="G147" s="332"/>
      <c r="H147" s="302">
        <v>8570</v>
      </c>
      <c r="I147" s="313">
        <v>1375</v>
      </c>
      <c r="J147" s="302" t="s">
        <v>207</v>
      </c>
      <c r="K147" s="298" t="s">
        <v>207</v>
      </c>
      <c r="L147" s="278">
        <v>8510</v>
      </c>
      <c r="M147" s="298">
        <v>13600</v>
      </c>
      <c r="N147" s="314">
        <v>8250</v>
      </c>
      <c r="O147" s="298">
        <v>1000</v>
      </c>
      <c r="P147" s="314">
        <v>8530</v>
      </c>
      <c r="Q147" s="315">
        <v>2000</v>
      </c>
      <c r="R147" s="314">
        <v>8590</v>
      </c>
      <c r="S147" s="298">
        <v>125</v>
      </c>
      <c r="T147" s="316">
        <f>SUM(I147+M147+O147+Q147+S147)</f>
        <v>18100</v>
      </c>
      <c r="U147" s="304"/>
      <c r="V147" s="305"/>
      <c r="W147" s="242"/>
      <c r="X147" s="242"/>
      <c r="Y147" s="242"/>
      <c r="Z147" s="242"/>
      <c r="AA147" s="242"/>
      <c r="AB147" s="242"/>
      <c r="AC147" s="242"/>
      <c r="AD147" s="242"/>
      <c r="AE147" s="242"/>
      <c r="AF147" s="242"/>
      <c r="AG147" s="242">
        <f>SUM(I147)</f>
        <v>1375</v>
      </c>
      <c r="AH147" s="242">
        <f>SUM(M147)</f>
        <v>13600</v>
      </c>
      <c r="AI147" s="242">
        <f>SUM(O147)</f>
        <v>1000</v>
      </c>
      <c r="AJ147" s="242">
        <f>SUM(Q147)</f>
        <v>2000</v>
      </c>
      <c r="AK147" s="242">
        <f>SUM(S147)</f>
        <v>125</v>
      </c>
      <c r="AL147" s="242"/>
      <c r="AM147" s="242"/>
      <c r="AN147" s="242"/>
      <c r="AO147" s="242"/>
      <c r="AP147" s="242"/>
      <c r="AQ147" s="242"/>
      <c r="AR147" s="242"/>
      <c r="AS147" s="242"/>
      <c r="AT147" s="278"/>
      <c r="AU147" s="278"/>
      <c r="AV147" s="278"/>
      <c r="AW147" s="278"/>
      <c r="AX147" s="293"/>
      <c r="AY147" s="304">
        <f t="shared" si="12"/>
        <v>0</v>
      </c>
    </row>
    <row r="148" spans="1:51" s="300" customFormat="1" ht="14.25" customHeight="1" x14ac:dyDescent="0.2">
      <c r="A148" s="290">
        <v>6</v>
      </c>
      <c r="B148" s="432" t="s">
        <v>153</v>
      </c>
      <c r="C148" s="433">
        <v>100</v>
      </c>
      <c r="D148" s="430">
        <f t="shared" si="15"/>
        <v>-100</v>
      </c>
      <c r="E148" s="28" t="s">
        <v>166</v>
      </c>
      <c r="F148" s="431">
        <f t="shared" si="19"/>
        <v>10693.670000000038</v>
      </c>
      <c r="G148" s="332"/>
      <c r="H148" s="302">
        <v>7850</v>
      </c>
      <c r="I148" s="303">
        <f>C148</f>
        <v>100</v>
      </c>
      <c r="J148" s="302"/>
      <c r="K148" s="298"/>
      <c r="L148" s="278"/>
      <c r="M148" s="278"/>
      <c r="N148" s="278"/>
      <c r="O148" s="278"/>
      <c r="P148" s="278"/>
      <c r="Q148" s="278"/>
      <c r="R148" s="278"/>
      <c r="S148" s="278"/>
      <c r="T148" s="278"/>
      <c r="U148" s="304">
        <f>SUM(I148)</f>
        <v>100</v>
      </c>
      <c r="V148" s="305"/>
      <c r="W148" s="242"/>
      <c r="X148" s="242"/>
      <c r="Y148" s="242"/>
      <c r="Z148" s="242"/>
      <c r="AA148" s="242"/>
      <c r="AB148" s="242"/>
      <c r="AC148" s="242"/>
      <c r="AD148" s="242"/>
      <c r="AE148" s="242"/>
      <c r="AF148" s="242"/>
      <c r="AG148" s="242"/>
      <c r="AH148" s="242"/>
      <c r="AI148" s="242"/>
      <c r="AJ148" s="242"/>
      <c r="AK148" s="242"/>
      <c r="AL148" s="242"/>
      <c r="AM148" s="242"/>
      <c r="AN148" s="242"/>
      <c r="AO148" s="242"/>
      <c r="AP148" s="242"/>
      <c r="AQ148" s="242"/>
      <c r="AR148" s="242"/>
      <c r="AS148" s="242"/>
      <c r="AT148" s="278"/>
      <c r="AU148" s="278"/>
      <c r="AV148" s="278"/>
      <c r="AW148" s="278"/>
      <c r="AX148" s="293"/>
      <c r="AY148" s="304">
        <f t="shared" si="12"/>
        <v>0</v>
      </c>
    </row>
    <row r="149" spans="1:51" s="300" customFormat="1" ht="14.25" customHeight="1" x14ac:dyDescent="0.2">
      <c r="A149" s="290">
        <v>6</v>
      </c>
      <c r="B149" s="432" t="s">
        <v>165</v>
      </c>
      <c r="C149" s="433">
        <v>200</v>
      </c>
      <c r="D149" s="430">
        <f t="shared" si="15"/>
        <v>-200</v>
      </c>
      <c r="E149" s="28" t="s">
        <v>161</v>
      </c>
      <c r="F149" s="431">
        <f t="shared" si="19"/>
        <v>10493.670000000038</v>
      </c>
      <c r="G149" s="332"/>
      <c r="H149" s="302">
        <v>6770</v>
      </c>
      <c r="I149" s="303">
        <f>C149</f>
        <v>200</v>
      </c>
      <c r="J149" s="302"/>
      <c r="K149" s="298"/>
      <c r="L149" s="278"/>
      <c r="M149" s="278"/>
      <c r="N149" s="278"/>
      <c r="O149" s="278"/>
      <c r="P149" s="278"/>
      <c r="Q149" s="278"/>
      <c r="R149" s="278"/>
      <c r="S149" s="278"/>
      <c r="T149" s="278"/>
      <c r="U149" s="304"/>
      <c r="V149" s="305"/>
      <c r="W149" s="242"/>
      <c r="X149" s="242"/>
      <c r="Y149" s="242"/>
      <c r="Z149" s="242"/>
      <c r="AA149" s="242"/>
      <c r="AB149" s="242"/>
      <c r="AC149" s="242"/>
      <c r="AD149" s="242"/>
      <c r="AE149" s="242"/>
      <c r="AF149" s="242"/>
      <c r="AG149" s="242"/>
      <c r="AH149" s="242"/>
      <c r="AI149" s="242"/>
      <c r="AJ149" s="242"/>
      <c r="AK149" s="242"/>
      <c r="AL149" s="242"/>
      <c r="AM149" s="242">
        <f>SUM(I149)</f>
        <v>200</v>
      </c>
      <c r="AN149" s="242"/>
      <c r="AO149" s="242"/>
      <c r="AP149" s="242"/>
      <c r="AQ149" s="242"/>
      <c r="AR149" s="242"/>
      <c r="AS149" s="242"/>
      <c r="AT149" s="278"/>
      <c r="AU149" s="278"/>
      <c r="AV149" s="278"/>
      <c r="AW149" s="278"/>
      <c r="AX149" s="293"/>
      <c r="AY149" s="304">
        <f t="shared" si="12"/>
        <v>0</v>
      </c>
    </row>
    <row r="150" spans="1:51" s="300" customFormat="1" ht="14.25" customHeight="1" x14ac:dyDescent="0.2">
      <c r="A150" s="290">
        <v>6</v>
      </c>
      <c r="B150" s="40" t="s">
        <v>164</v>
      </c>
      <c r="C150" s="433">
        <v>625</v>
      </c>
      <c r="D150" s="430">
        <f t="shared" si="15"/>
        <v>-625</v>
      </c>
      <c r="E150" s="28" t="s">
        <v>163</v>
      </c>
      <c r="F150" s="431">
        <f t="shared" si="19"/>
        <v>9868.6700000000383</v>
      </c>
      <c r="G150" s="332"/>
      <c r="H150" s="302">
        <v>5540</v>
      </c>
      <c r="I150" s="303">
        <f>C150</f>
        <v>625</v>
      </c>
      <c r="J150" s="302"/>
      <c r="K150" s="298"/>
      <c r="L150" s="278"/>
      <c r="M150" s="278"/>
      <c r="N150" s="278"/>
      <c r="O150" s="278"/>
      <c r="P150" s="278"/>
      <c r="Q150" s="278"/>
      <c r="R150" s="278"/>
      <c r="S150" s="278"/>
      <c r="T150" s="278"/>
      <c r="U150" s="304"/>
      <c r="V150" s="305"/>
      <c r="W150" s="242"/>
      <c r="X150" s="242"/>
      <c r="Y150" s="242"/>
      <c r="Z150" s="242"/>
      <c r="AA150" s="242"/>
      <c r="AB150" s="242"/>
      <c r="AC150" s="242"/>
      <c r="AD150" s="242"/>
      <c r="AE150" s="242"/>
      <c r="AF150" s="242"/>
      <c r="AG150" s="242"/>
      <c r="AH150" s="242"/>
      <c r="AI150" s="242"/>
      <c r="AJ150" s="242"/>
      <c r="AK150" s="242"/>
      <c r="AL150" s="242"/>
      <c r="AM150" s="242"/>
      <c r="AN150" s="242">
        <f>SUM(I150)</f>
        <v>625</v>
      </c>
      <c r="AO150" s="242"/>
      <c r="AP150" s="242"/>
      <c r="AQ150" s="242"/>
      <c r="AR150" s="242"/>
      <c r="AS150" s="242"/>
      <c r="AT150" s="278"/>
      <c r="AU150" s="278"/>
      <c r="AV150" s="278"/>
      <c r="AW150" s="278"/>
      <c r="AX150" s="293"/>
      <c r="AY150" s="304">
        <f t="shared" si="12"/>
        <v>0</v>
      </c>
    </row>
    <row r="151" spans="1:51" s="300" customFormat="1" ht="14.25" customHeight="1" x14ac:dyDescent="0.2">
      <c r="A151" s="290">
        <v>6</v>
      </c>
      <c r="B151" s="432" t="s">
        <v>162</v>
      </c>
      <c r="C151" s="433">
        <v>60</v>
      </c>
      <c r="D151" s="430">
        <f t="shared" si="15"/>
        <v>-60</v>
      </c>
      <c r="E151" s="28" t="s">
        <v>161</v>
      </c>
      <c r="F151" s="431">
        <f t="shared" si="19"/>
        <v>9808.6700000000383</v>
      </c>
      <c r="G151" s="332"/>
      <c r="H151" s="302">
        <v>7850</v>
      </c>
      <c r="I151" s="303">
        <f>C151</f>
        <v>60</v>
      </c>
      <c r="J151" s="302"/>
      <c r="K151" s="298"/>
      <c r="L151" s="278"/>
      <c r="M151" s="278"/>
      <c r="N151" s="278"/>
      <c r="O151" s="278"/>
      <c r="P151" s="278"/>
      <c r="Q151" s="278"/>
      <c r="R151" s="278"/>
      <c r="S151" s="278"/>
      <c r="T151" s="278"/>
      <c r="U151" s="304">
        <f>SUM(I151)</f>
        <v>60</v>
      </c>
      <c r="V151" s="305"/>
      <c r="W151" s="242"/>
      <c r="X151" s="242"/>
      <c r="Y151" s="242"/>
      <c r="Z151" s="242"/>
      <c r="AA151" s="242"/>
      <c r="AB151" s="242"/>
      <c r="AC151" s="242"/>
      <c r="AD151" s="242"/>
      <c r="AE151" s="242"/>
      <c r="AF151" s="242"/>
      <c r="AG151" s="242"/>
      <c r="AH151" s="242"/>
      <c r="AI151" s="242"/>
      <c r="AJ151" s="242"/>
      <c r="AK151" s="242"/>
      <c r="AL151" s="242"/>
      <c r="AM151" s="242"/>
      <c r="AN151" s="242"/>
      <c r="AO151" s="242"/>
      <c r="AP151" s="242"/>
      <c r="AQ151" s="242"/>
      <c r="AR151" s="242"/>
      <c r="AS151" s="242"/>
      <c r="AT151" s="278"/>
      <c r="AU151" s="278"/>
      <c r="AV151" s="278"/>
      <c r="AW151" s="278"/>
      <c r="AX151" s="293"/>
      <c r="AY151" s="304">
        <f t="shared" ref="AY151:AY165" si="21">SUM(U151:AX151)-C151</f>
        <v>0</v>
      </c>
    </row>
    <row r="152" spans="1:51" s="300" customFormat="1" ht="14.25" customHeight="1" x14ac:dyDescent="0.2">
      <c r="A152" s="290">
        <v>6</v>
      </c>
      <c r="B152" s="40" t="s">
        <v>160</v>
      </c>
      <c r="C152" s="30">
        <v>1833.35</v>
      </c>
      <c r="D152" s="430">
        <f t="shared" si="15"/>
        <v>-1833.35</v>
      </c>
      <c r="E152" s="28" t="s">
        <v>159</v>
      </c>
      <c r="F152" s="431">
        <f t="shared" si="19"/>
        <v>7975.3200000000379</v>
      </c>
      <c r="G152" s="332"/>
      <c r="H152" s="302">
        <v>6590</v>
      </c>
      <c r="I152" s="303">
        <f>C152</f>
        <v>1833.35</v>
      </c>
      <c r="J152" s="302"/>
      <c r="K152" s="298"/>
      <c r="L152" s="278"/>
      <c r="M152" s="278"/>
      <c r="N152" s="278"/>
      <c r="O152" s="278"/>
      <c r="P152" s="278"/>
      <c r="Q152" s="278"/>
      <c r="R152" s="278"/>
      <c r="S152" s="278"/>
      <c r="T152" s="278"/>
      <c r="U152" s="304"/>
      <c r="V152" s="305"/>
      <c r="W152" s="242"/>
      <c r="X152" s="242"/>
      <c r="Y152" s="242"/>
      <c r="Z152" s="242"/>
      <c r="AA152" s="242"/>
      <c r="AB152" s="242"/>
      <c r="AC152" s="242"/>
      <c r="AD152" s="242"/>
      <c r="AE152" s="242"/>
      <c r="AF152" s="242"/>
      <c r="AG152" s="242"/>
      <c r="AH152" s="242"/>
      <c r="AI152" s="242"/>
      <c r="AJ152" s="242"/>
      <c r="AK152" s="242"/>
      <c r="AL152" s="242"/>
      <c r="AM152" s="242"/>
      <c r="AN152" s="242"/>
      <c r="AO152" s="278"/>
      <c r="AP152" s="242">
        <f>SUM(I152)</f>
        <v>1833.35</v>
      </c>
      <c r="AQ152" s="242"/>
      <c r="AR152" s="242"/>
      <c r="AS152" s="242"/>
      <c r="AT152" s="278"/>
      <c r="AU152" s="278"/>
      <c r="AV152" s="278"/>
      <c r="AW152" s="278"/>
      <c r="AX152" s="293"/>
      <c r="AY152" s="304">
        <f t="shared" si="21"/>
        <v>0</v>
      </c>
    </row>
    <row r="153" spans="1:51" s="300" customFormat="1" ht="14.25" customHeight="1" x14ac:dyDescent="0.2">
      <c r="A153" s="331">
        <v>6</v>
      </c>
      <c r="B153" s="447" t="s">
        <v>157</v>
      </c>
      <c r="C153" s="456"/>
      <c r="D153" s="449">
        <v>40630.800000000003</v>
      </c>
      <c r="E153" s="139" t="s">
        <v>342</v>
      </c>
      <c r="F153" s="450">
        <f t="shared" si="19"/>
        <v>48606.120000000039</v>
      </c>
      <c r="G153" s="332"/>
      <c r="H153" s="302" t="s">
        <v>207</v>
      </c>
      <c r="I153" s="302" t="s">
        <v>207</v>
      </c>
      <c r="J153" s="302"/>
      <c r="K153" s="298"/>
      <c r="L153" s="278"/>
      <c r="M153" s="278"/>
      <c r="N153" s="278"/>
      <c r="O153" s="278"/>
      <c r="P153" s="278"/>
      <c r="Q153" s="278"/>
      <c r="R153" s="278"/>
      <c r="S153" s="278"/>
      <c r="T153" s="278"/>
      <c r="U153" s="304"/>
      <c r="V153" s="305"/>
      <c r="W153" s="242"/>
      <c r="X153" s="242"/>
      <c r="Y153" s="242"/>
      <c r="Z153" s="242"/>
      <c r="AA153" s="242"/>
      <c r="AB153" s="242"/>
      <c r="AC153" s="242"/>
      <c r="AD153" s="242"/>
      <c r="AE153" s="242"/>
      <c r="AF153" s="242"/>
      <c r="AG153" s="242"/>
      <c r="AH153" s="242"/>
      <c r="AI153" s="242"/>
      <c r="AJ153" s="242"/>
      <c r="AK153" s="242"/>
      <c r="AL153" s="242"/>
      <c r="AM153" s="242"/>
      <c r="AN153" s="242"/>
      <c r="AO153" s="242"/>
      <c r="AP153" s="242"/>
      <c r="AQ153" s="242"/>
      <c r="AR153" s="242"/>
      <c r="AS153" s="242"/>
      <c r="AT153" s="278"/>
      <c r="AU153" s="278"/>
      <c r="AV153" s="278"/>
      <c r="AW153" s="278"/>
      <c r="AX153" s="293"/>
      <c r="AY153" s="304">
        <f t="shared" si="21"/>
        <v>0</v>
      </c>
    </row>
    <row r="154" spans="1:51" s="300" customFormat="1" ht="14.25" customHeight="1" x14ac:dyDescent="0.2">
      <c r="A154" s="331">
        <v>6</v>
      </c>
      <c r="B154" s="447" t="s">
        <v>157</v>
      </c>
      <c r="C154" s="456"/>
      <c r="D154" s="449">
        <v>262637.08</v>
      </c>
      <c r="E154" s="139" t="s">
        <v>343</v>
      </c>
      <c r="F154" s="450">
        <f t="shared" si="19"/>
        <v>311243.20000000007</v>
      </c>
      <c r="G154" s="332"/>
      <c r="H154" s="302" t="s">
        <v>207</v>
      </c>
      <c r="I154" s="302" t="s">
        <v>207</v>
      </c>
      <c r="J154" s="302"/>
      <c r="K154" s="298"/>
      <c r="L154" s="278"/>
      <c r="M154" s="278"/>
      <c r="N154" s="278"/>
      <c r="O154" s="278"/>
      <c r="P154" s="278"/>
      <c r="Q154" s="278"/>
      <c r="R154" s="278"/>
      <c r="S154" s="278"/>
      <c r="T154" s="278"/>
      <c r="U154" s="304"/>
      <c r="V154" s="305"/>
      <c r="W154" s="242"/>
      <c r="X154" s="242"/>
      <c r="Y154" s="242"/>
      <c r="Z154" s="242"/>
      <c r="AA154" s="242"/>
      <c r="AB154" s="242"/>
      <c r="AC154" s="242"/>
      <c r="AD154" s="242"/>
      <c r="AE154" s="242"/>
      <c r="AF154" s="242"/>
      <c r="AG154" s="242"/>
      <c r="AH154" s="242"/>
      <c r="AI154" s="242"/>
      <c r="AJ154" s="242"/>
      <c r="AK154" s="242"/>
      <c r="AL154" s="242"/>
      <c r="AM154" s="242"/>
      <c r="AN154" s="242"/>
      <c r="AO154" s="242"/>
      <c r="AP154" s="242"/>
      <c r="AQ154" s="242"/>
      <c r="AR154" s="242"/>
      <c r="AS154" s="242"/>
      <c r="AT154" s="278"/>
      <c r="AU154" s="278"/>
      <c r="AV154" s="278"/>
      <c r="AW154" s="278"/>
      <c r="AX154" s="293"/>
      <c r="AY154" s="304">
        <f t="shared" si="21"/>
        <v>0</v>
      </c>
    </row>
    <row r="155" spans="1:51" s="300" customFormat="1" ht="14.25" customHeight="1" x14ac:dyDescent="0.2">
      <c r="A155" s="321">
        <v>6</v>
      </c>
      <c r="B155" s="440" t="s">
        <v>155</v>
      </c>
      <c r="C155" s="441">
        <f>SUM(C147)</f>
        <v>18100</v>
      </c>
      <c r="D155" s="442">
        <f t="shared" ref="D155:D165" si="22">SUM(C155*-1)</f>
        <v>-18100</v>
      </c>
      <c r="E155" s="47" t="s">
        <v>154</v>
      </c>
      <c r="F155" s="431">
        <f t="shared" si="19"/>
        <v>293143.20000000007</v>
      </c>
      <c r="G155" s="332"/>
      <c r="H155" s="302">
        <v>8570</v>
      </c>
      <c r="I155" s="313">
        <v>1375</v>
      </c>
      <c r="J155" s="302" t="s">
        <v>207</v>
      </c>
      <c r="K155" s="298" t="s">
        <v>207</v>
      </c>
      <c r="L155" s="278">
        <v>8510</v>
      </c>
      <c r="M155" s="298">
        <v>13600</v>
      </c>
      <c r="N155" s="314">
        <v>8250</v>
      </c>
      <c r="O155" s="298">
        <v>1000</v>
      </c>
      <c r="P155" s="314">
        <v>8530</v>
      </c>
      <c r="Q155" s="315">
        <v>2000</v>
      </c>
      <c r="R155" s="314">
        <v>8590</v>
      </c>
      <c r="S155" s="298">
        <v>125</v>
      </c>
      <c r="T155" s="316">
        <f>SUM(I155+M155+O155+Q155+S155)</f>
        <v>18100</v>
      </c>
      <c r="U155" s="304"/>
      <c r="V155" s="305"/>
      <c r="W155" s="242"/>
      <c r="X155" s="242"/>
      <c r="Y155" s="242"/>
      <c r="Z155" s="242"/>
      <c r="AA155" s="242"/>
      <c r="AB155" s="242"/>
      <c r="AC155" s="242"/>
      <c r="AD155" s="242"/>
      <c r="AE155" s="242"/>
      <c r="AF155" s="242"/>
      <c r="AG155" s="242">
        <f>SUM(I155)</f>
        <v>1375</v>
      </c>
      <c r="AH155" s="242">
        <f>SUM(M155)</f>
        <v>13600</v>
      </c>
      <c r="AI155" s="242">
        <f>SUM(O155)</f>
        <v>1000</v>
      </c>
      <c r="AJ155" s="242">
        <f>SUM(Q155)</f>
        <v>2000</v>
      </c>
      <c r="AK155" s="242">
        <f>SUM(S155)</f>
        <v>125</v>
      </c>
      <c r="AL155" s="242"/>
      <c r="AM155" s="242"/>
      <c r="AN155" s="242"/>
      <c r="AO155" s="242"/>
      <c r="AP155" s="242"/>
      <c r="AQ155" s="242"/>
      <c r="AR155" s="242"/>
      <c r="AS155" s="242"/>
      <c r="AT155" s="278"/>
      <c r="AU155" s="278"/>
      <c r="AV155" s="278"/>
      <c r="AW155" s="278"/>
      <c r="AX155" s="293"/>
      <c r="AY155" s="304">
        <f t="shared" si="21"/>
        <v>0</v>
      </c>
    </row>
    <row r="156" spans="1:51" s="300" customFormat="1" ht="14.25" customHeight="1" x14ac:dyDescent="0.2">
      <c r="A156" s="290">
        <v>6</v>
      </c>
      <c r="B156" s="432" t="s">
        <v>153</v>
      </c>
      <c r="C156" s="433">
        <v>100</v>
      </c>
      <c r="D156" s="430">
        <f t="shared" si="22"/>
        <v>-100</v>
      </c>
      <c r="E156" s="28" t="s">
        <v>152</v>
      </c>
      <c r="F156" s="431">
        <f t="shared" si="19"/>
        <v>293043.20000000007</v>
      </c>
      <c r="G156" s="332"/>
      <c r="H156" s="302">
        <v>7850</v>
      </c>
      <c r="I156" s="303">
        <f>C156</f>
        <v>100</v>
      </c>
      <c r="J156" s="302"/>
      <c r="K156" s="298"/>
      <c r="L156" s="278"/>
      <c r="M156" s="278"/>
      <c r="N156" s="278"/>
      <c r="O156" s="278"/>
      <c r="P156" s="278"/>
      <c r="Q156" s="278"/>
      <c r="R156" s="278"/>
      <c r="S156" s="278"/>
      <c r="T156" s="278"/>
      <c r="U156" s="304">
        <f>SUM(I156)</f>
        <v>100</v>
      </c>
      <c r="V156" s="305"/>
      <c r="W156" s="242"/>
      <c r="X156" s="242"/>
      <c r="Y156" s="242"/>
      <c r="Z156" s="242"/>
      <c r="AA156" s="242"/>
      <c r="AB156" s="242"/>
      <c r="AC156" s="242"/>
      <c r="AD156" s="242"/>
      <c r="AE156" s="242"/>
      <c r="AF156" s="242"/>
      <c r="AG156" s="242"/>
      <c r="AH156" s="242"/>
      <c r="AI156" s="242"/>
      <c r="AJ156" s="242"/>
      <c r="AK156" s="242"/>
      <c r="AL156" s="242"/>
      <c r="AM156" s="242"/>
      <c r="AN156" s="242"/>
      <c r="AO156" s="242"/>
      <c r="AP156" s="242"/>
      <c r="AQ156" s="242"/>
      <c r="AR156" s="242"/>
      <c r="AS156" s="242"/>
      <c r="AT156" s="278"/>
      <c r="AU156" s="278"/>
      <c r="AV156" s="278"/>
      <c r="AW156" s="278"/>
      <c r="AX156" s="293"/>
      <c r="AY156" s="304">
        <f t="shared" si="21"/>
        <v>0</v>
      </c>
    </row>
    <row r="157" spans="1:51" s="300" customFormat="1" ht="14.25" customHeight="1" x14ac:dyDescent="0.2">
      <c r="A157" s="290">
        <v>6</v>
      </c>
      <c r="B157" s="40" t="s">
        <v>266</v>
      </c>
      <c r="C157" s="433">
        <f>SUM('CCD - Mnthly Bills'!C20)</f>
        <v>1523.3625000000002</v>
      </c>
      <c r="D157" s="430">
        <f t="shared" si="22"/>
        <v>-1523.3625000000002</v>
      </c>
      <c r="E157" s="28" t="s">
        <v>268</v>
      </c>
      <c r="F157" s="431">
        <f t="shared" si="19"/>
        <v>291519.83750000008</v>
      </c>
      <c r="G157" s="332"/>
      <c r="H157" s="589" t="s">
        <v>264</v>
      </c>
      <c r="I157" s="589"/>
      <c r="J157" s="302"/>
      <c r="K157" s="298"/>
      <c r="L157" s="278"/>
      <c r="M157" s="278"/>
      <c r="N157" s="278"/>
      <c r="O157" s="278"/>
      <c r="P157" s="278"/>
      <c r="Q157" s="278"/>
      <c r="R157" s="278"/>
      <c r="S157" s="278"/>
      <c r="T157" s="278"/>
      <c r="U157" s="304"/>
      <c r="V157" s="305"/>
      <c r="W157" s="242">
        <f>SUM(W129)</f>
        <v>104.73750000000001</v>
      </c>
      <c r="X157" s="242"/>
      <c r="Y157" s="242">
        <f>SUM(Y129)</f>
        <v>778.6875</v>
      </c>
      <c r="Z157" s="242"/>
      <c r="AA157" s="242">
        <f>SUM(AA129)</f>
        <v>375</v>
      </c>
      <c r="AB157" s="242"/>
      <c r="AC157" s="242"/>
      <c r="AD157" s="242">
        <f>SUM(AD129)</f>
        <v>90</v>
      </c>
      <c r="AE157" s="242"/>
      <c r="AF157" s="242"/>
      <c r="AG157" s="242"/>
      <c r="AH157" s="242"/>
      <c r="AI157" s="242"/>
      <c r="AJ157" s="242"/>
      <c r="AK157" s="242"/>
      <c r="AL157" s="242"/>
      <c r="AM157" s="242"/>
      <c r="AN157" s="242"/>
      <c r="AO157" s="242"/>
      <c r="AP157" s="242"/>
      <c r="AQ157" s="242">
        <f>SUM(AQ129)</f>
        <v>111.1875</v>
      </c>
      <c r="AR157" s="242">
        <f>SUM(AR129)</f>
        <v>63.75</v>
      </c>
      <c r="AS157" s="242"/>
      <c r="AT157" s="278"/>
      <c r="AU157" s="278"/>
      <c r="AV157" s="278"/>
      <c r="AW157" s="278"/>
      <c r="AX157" s="293"/>
      <c r="AY157" s="304">
        <f t="shared" si="21"/>
        <v>0</v>
      </c>
    </row>
    <row r="158" spans="1:51" s="300" customFormat="1" ht="14.25" customHeight="1" x14ac:dyDescent="0.2">
      <c r="A158" s="290">
        <v>6</v>
      </c>
      <c r="B158" s="432" t="s">
        <v>150</v>
      </c>
      <c r="C158" s="433">
        <v>458.65</v>
      </c>
      <c r="D158" s="430">
        <f t="shared" si="22"/>
        <v>-458.65</v>
      </c>
      <c r="E158" s="28" t="s">
        <v>149</v>
      </c>
      <c r="F158" s="431">
        <f t="shared" si="19"/>
        <v>291061.18750000006</v>
      </c>
      <c r="G158" s="332"/>
      <c r="H158" s="302">
        <v>7910</v>
      </c>
      <c r="I158" s="303">
        <f t="shared" ref="I158:I165" si="23">C158</f>
        <v>458.65</v>
      </c>
      <c r="J158" s="302"/>
      <c r="K158" s="298"/>
      <c r="L158" s="278"/>
      <c r="M158" s="278"/>
      <c r="N158" s="278"/>
      <c r="O158" s="278"/>
      <c r="P158" s="278"/>
      <c r="Q158" s="278"/>
      <c r="R158" s="278"/>
      <c r="S158" s="278"/>
      <c r="T158" s="278"/>
      <c r="U158" s="304"/>
      <c r="V158" s="305">
        <f>SUM(I158)</f>
        <v>458.65</v>
      </c>
      <c r="W158" s="242"/>
      <c r="X158" s="242"/>
      <c r="Y158" s="242"/>
      <c r="Z158" s="242"/>
      <c r="AA158" s="242"/>
      <c r="AB158" s="242"/>
      <c r="AC158" s="242"/>
      <c r="AD158" s="242"/>
      <c r="AE158" s="242"/>
      <c r="AF158" s="242"/>
      <c r="AG158" s="242"/>
      <c r="AH158" s="242"/>
      <c r="AI158" s="242"/>
      <c r="AJ158" s="242"/>
      <c r="AK158" s="242"/>
      <c r="AL158" s="242"/>
      <c r="AM158" s="242"/>
      <c r="AN158" s="242"/>
      <c r="AO158" s="242"/>
      <c r="AP158" s="242"/>
      <c r="AQ158" s="242"/>
      <c r="AR158" s="242"/>
      <c r="AS158" s="242"/>
      <c r="AT158" s="278"/>
      <c r="AU158" s="278"/>
      <c r="AV158" s="278"/>
      <c r="AW158" s="278"/>
      <c r="AX158" s="293"/>
      <c r="AY158" s="304">
        <f t="shared" si="21"/>
        <v>0</v>
      </c>
    </row>
    <row r="159" spans="1:51" s="300" customFormat="1" ht="14.25" customHeight="1" x14ac:dyDescent="0.2">
      <c r="A159" s="290">
        <v>6</v>
      </c>
      <c r="B159" s="432" t="s">
        <v>148</v>
      </c>
      <c r="C159" s="433">
        <v>150</v>
      </c>
      <c r="D159" s="430">
        <f t="shared" si="22"/>
        <v>-150</v>
      </c>
      <c r="E159" s="28" t="s">
        <v>147</v>
      </c>
      <c r="F159" s="431">
        <f t="shared" si="19"/>
        <v>290911.18750000006</v>
      </c>
      <c r="G159" s="332"/>
      <c r="H159" s="302">
        <v>7950</v>
      </c>
      <c r="I159" s="303">
        <f t="shared" si="23"/>
        <v>150</v>
      </c>
      <c r="J159" s="302"/>
      <c r="K159" s="298"/>
      <c r="L159" s="278"/>
      <c r="M159" s="278"/>
      <c r="N159" s="278"/>
      <c r="O159" s="278"/>
      <c r="P159" s="278"/>
      <c r="Q159" s="278"/>
      <c r="R159" s="278"/>
      <c r="S159" s="278"/>
      <c r="T159" s="278"/>
      <c r="U159" s="304"/>
      <c r="V159" s="305"/>
      <c r="W159" s="242">
        <f>SUM(I159)</f>
        <v>150</v>
      </c>
      <c r="X159" s="242"/>
      <c r="Y159" s="242"/>
      <c r="Z159" s="242"/>
      <c r="AA159" s="242"/>
      <c r="AB159" s="242"/>
      <c r="AC159" s="242"/>
      <c r="AD159" s="242"/>
      <c r="AE159" s="242"/>
      <c r="AF159" s="242"/>
      <c r="AG159" s="242"/>
      <c r="AH159" s="242"/>
      <c r="AI159" s="242"/>
      <c r="AJ159" s="242"/>
      <c r="AK159" s="242"/>
      <c r="AL159" s="242"/>
      <c r="AM159" s="242"/>
      <c r="AN159" s="242"/>
      <c r="AO159" s="242"/>
      <c r="AP159" s="242"/>
      <c r="AQ159" s="242"/>
      <c r="AR159" s="242"/>
      <c r="AS159" s="242"/>
      <c r="AT159" s="278"/>
      <c r="AU159" s="278"/>
      <c r="AV159" s="278"/>
      <c r="AW159" s="278"/>
      <c r="AX159" s="293"/>
      <c r="AY159" s="304">
        <f t="shared" si="21"/>
        <v>0</v>
      </c>
    </row>
    <row r="160" spans="1:51" s="300" customFormat="1" ht="14.25" customHeight="1" x14ac:dyDescent="0.2">
      <c r="A160" s="290">
        <v>6</v>
      </c>
      <c r="B160" s="432" t="s">
        <v>146</v>
      </c>
      <c r="C160" s="433">
        <v>149.99</v>
      </c>
      <c r="D160" s="430">
        <f t="shared" si="22"/>
        <v>-149.99</v>
      </c>
      <c r="E160" s="28" t="s">
        <v>145</v>
      </c>
      <c r="F160" s="431">
        <f t="shared" si="19"/>
        <v>290761.19750000007</v>
      </c>
      <c r="G160" s="332"/>
      <c r="H160" s="302">
        <v>7950</v>
      </c>
      <c r="I160" s="303">
        <f t="shared" si="23"/>
        <v>149.99</v>
      </c>
      <c r="J160" s="302"/>
      <c r="K160" s="298"/>
      <c r="L160" s="278"/>
      <c r="M160" s="278"/>
      <c r="N160" s="278"/>
      <c r="O160" s="278"/>
      <c r="P160" s="278"/>
      <c r="Q160" s="278"/>
      <c r="R160" s="278"/>
      <c r="S160" s="278"/>
      <c r="T160" s="278"/>
      <c r="U160" s="304"/>
      <c r="V160" s="305"/>
      <c r="W160" s="242">
        <f>SUM(I160)</f>
        <v>149.99</v>
      </c>
      <c r="X160" s="242"/>
      <c r="Y160" s="242"/>
      <c r="Z160" s="242"/>
      <c r="AA160" s="242"/>
      <c r="AB160" s="242"/>
      <c r="AC160" s="242"/>
      <c r="AD160" s="242"/>
      <c r="AE160" s="242"/>
      <c r="AF160" s="242"/>
      <c r="AG160" s="242"/>
      <c r="AH160" s="242"/>
      <c r="AI160" s="242"/>
      <c r="AJ160" s="242"/>
      <c r="AK160" s="242"/>
      <c r="AL160" s="242"/>
      <c r="AM160" s="242"/>
      <c r="AN160" s="242"/>
      <c r="AO160" s="242"/>
      <c r="AP160" s="242"/>
      <c r="AQ160" s="242"/>
      <c r="AR160" s="242"/>
      <c r="AS160" s="242"/>
      <c r="AT160" s="278"/>
      <c r="AU160" s="278"/>
      <c r="AV160" s="278"/>
      <c r="AW160" s="278"/>
      <c r="AX160" s="293"/>
      <c r="AY160" s="304">
        <f t="shared" si="21"/>
        <v>0</v>
      </c>
    </row>
    <row r="161" spans="1:52" s="300" customFormat="1" ht="14.25" customHeight="1" x14ac:dyDescent="0.2">
      <c r="A161" s="290">
        <v>6</v>
      </c>
      <c r="B161" s="432" t="s">
        <v>144</v>
      </c>
      <c r="C161" s="433">
        <v>300</v>
      </c>
      <c r="D161" s="430">
        <f t="shared" si="22"/>
        <v>-300</v>
      </c>
      <c r="E161" s="28" t="s">
        <v>138</v>
      </c>
      <c r="F161" s="431">
        <f t="shared" si="19"/>
        <v>290461.19750000007</v>
      </c>
      <c r="G161" s="332"/>
      <c r="H161" s="302">
        <v>7950</v>
      </c>
      <c r="I161" s="303">
        <f t="shared" si="23"/>
        <v>300</v>
      </c>
      <c r="J161" s="302"/>
      <c r="K161" s="298"/>
      <c r="L161" s="278"/>
      <c r="M161" s="278"/>
      <c r="N161" s="278"/>
      <c r="O161" s="278"/>
      <c r="P161" s="278"/>
      <c r="Q161" s="278"/>
      <c r="R161" s="278"/>
      <c r="S161" s="278"/>
      <c r="T161" s="278"/>
      <c r="U161" s="304"/>
      <c r="V161" s="305"/>
      <c r="W161" s="242">
        <f>SUM(I161)</f>
        <v>300</v>
      </c>
      <c r="X161" s="242"/>
      <c r="Y161" s="242"/>
      <c r="Z161" s="242"/>
      <c r="AA161" s="242"/>
      <c r="AB161" s="242"/>
      <c r="AC161" s="242"/>
      <c r="AD161" s="242"/>
      <c r="AE161" s="242"/>
      <c r="AF161" s="242"/>
      <c r="AG161" s="242"/>
      <c r="AH161" s="242"/>
      <c r="AI161" s="242"/>
      <c r="AJ161" s="242"/>
      <c r="AK161" s="242"/>
      <c r="AL161" s="242"/>
      <c r="AM161" s="242"/>
      <c r="AN161" s="242"/>
      <c r="AO161" s="242"/>
      <c r="AP161" s="242"/>
      <c r="AQ161" s="242"/>
      <c r="AR161" s="242"/>
      <c r="AS161" s="242"/>
      <c r="AT161" s="278"/>
      <c r="AU161" s="278"/>
      <c r="AV161" s="278"/>
      <c r="AW161" s="278"/>
      <c r="AX161" s="293"/>
      <c r="AY161" s="304">
        <f t="shared" si="21"/>
        <v>0</v>
      </c>
    </row>
    <row r="162" spans="1:52" s="300" customFormat="1" ht="14.25" customHeight="1" x14ac:dyDescent="0.2">
      <c r="A162" s="290">
        <v>6</v>
      </c>
      <c r="B162" s="40" t="s">
        <v>143</v>
      </c>
      <c r="C162" s="433">
        <v>75</v>
      </c>
      <c r="D162" s="430">
        <f t="shared" si="22"/>
        <v>-75</v>
      </c>
      <c r="E162" s="28" t="s">
        <v>138</v>
      </c>
      <c r="F162" s="431">
        <f t="shared" si="19"/>
        <v>290386.19750000007</v>
      </c>
      <c r="G162" s="332"/>
      <c r="H162" s="302">
        <v>7950</v>
      </c>
      <c r="I162" s="303">
        <f t="shared" si="23"/>
        <v>75</v>
      </c>
      <c r="J162" s="302"/>
      <c r="K162" s="298"/>
      <c r="L162" s="278"/>
      <c r="M162" s="278"/>
      <c r="N162" s="278"/>
      <c r="O162" s="278"/>
      <c r="P162" s="278"/>
      <c r="Q162" s="278"/>
      <c r="R162" s="278"/>
      <c r="S162" s="278"/>
      <c r="T162" s="278"/>
      <c r="U162" s="304"/>
      <c r="V162" s="305"/>
      <c r="W162" s="242">
        <f>SUM(I162)</f>
        <v>75</v>
      </c>
      <c r="X162" s="242"/>
      <c r="Y162" s="242"/>
      <c r="Z162" s="242"/>
      <c r="AA162" s="242"/>
      <c r="AB162" s="242"/>
      <c r="AC162" s="242"/>
      <c r="AD162" s="242"/>
      <c r="AE162" s="242"/>
      <c r="AF162" s="242"/>
      <c r="AG162" s="242"/>
      <c r="AH162" s="242"/>
      <c r="AI162" s="242"/>
      <c r="AJ162" s="242"/>
      <c r="AK162" s="242"/>
      <c r="AL162" s="242"/>
      <c r="AM162" s="242"/>
      <c r="AN162" s="242"/>
      <c r="AO162" s="242"/>
      <c r="AP162" s="242"/>
      <c r="AQ162" s="242"/>
      <c r="AR162" s="242"/>
      <c r="AS162" s="242"/>
      <c r="AT162" s="278"/>
      <c r="AU162" s="278"/>
      <c r="AV162" s="278"/>
      <c r="AW162" s="278"/>
      <c r="AX162" s="293"/>
      <c r="AY162" s="304">
        <f t="shared" si="21"/>
        <v>0</v>
      </c>
    </row>
    <row r="163" spans="1:52" s="300" customFormat="1" ht="14.25" customHeight="1" x14ac:dyDescent="0.2">
      <c r="A163" s="290">
        <v>6</v>
      </c>
      <c r="B163" s="432" t="s">
        <v>142</v>
      </c>
      <c r="C163" s="433">
        <v>2500</v>
      </c>
      <c r="D163" s="430">
        <f t="shared" si="22"/>
        <v>-2500</v>
      </c>
      <c r="E163" s="28" t="s">
        <v>140</v>
      </c>
      <c r="F163" s="431">
        <f t="shared" si="19"/>
        <v>287886.19750000007</v>
      </c>
      <c r="G163" s="332"/>
      <c r="H163" s="302">
        <v>5710</v>
      </c>
      <c r="I163" s="303">
        <f t="shared" si="23"/>
        <v>2500</v>
      </c>
      <c r="J163" s="302"/>
      <c r="K163" s="298"/>
      <c r="L163" s="278"/>
      <c r="M163" s="278"/>
      <c r="N163" s="278"/>
      <c r="O163" s="278"/>
      <c r="P163" s="278"/>
      <c r="Q163" s="278"/>
      <c r="R163" s="278"/>
      <c r="S163" s="278"/>
      <c r="T163" s="278"/>
      <c r="U163" s="304"/>
      <c r="V163" s="305"/>
      <c r="W163" s="242"/>
      <c r="X163" s="242"/>
      <c r="Y163" s="242"/>
      <c r="Z163" s="242">
        <f>SUM(I163)</f>
        <v>2500</v>
      </c>
      <c r="AA163" s="242"/>
      <c r="AB163" s="242"/>
      <c r="AC163" s="242"/>
      <c r="AD163" s="242"/>
      <c r="AE163" s="242"/>
      <c r="AF163" s="242"/>
      <c r="AG163" s="242"/>
      <c r="AH163" s="242"/>
      <c r="AI163" s="242"/>
      <c r="AJ163" s="242"/>
      <c r="AK163" s="242"/>
      <c r="AL163" s="242"/>
      <c r="AM163" s="242"/>
      <c r="AN163" s="242"/>
      <c r="AO163" s="242"/>
      <c r="AP163" s="242"/>
      <c r="AQ163" s="242"/>
      <c r="AR163" s="242"/>
      <c r="AS163" s="242"/>
      <c r="AT163" s="278"/>
      <c r="AU163" s="278"/>
      <c r="AV163" s="278"/>
      <c r="AW163" s="278"/>
      <c r="AX163" s="293"/>
      <c r="AY163" s="304">
        <f t="shared" si="21"/>
        <v>0</v>
      </c>
    </row>
    <row r="164" spans="1:52" s="300" customFormat="1" ht="14.25" customHeight="1" x14ac:dyDescent="0.2">
      <c r="A164" s="290">
        <v>6</v>
      </c>
      <c r="B164" s="432" t="s">
        <v>141</v>
      </c>
      <c r="C164" s="433">
        <v>1080</v>
      </c>
      <c r="D164" s="430">
        <f t="shared" si="22"/>
        <v>-1080</v>
      </c>
      <c r="E164" s="28" t="s">
        <v>140</v>
      </c>
      <c r="F164" s="431">
        <f t="shared" si="19"/>
        <v>286806.19750000007</v>
      </c>
      <c r="G164" s="332"/>
      <c r="H164" s="302">
        <v>6730</v>
      </c>
      <c r="I164" s="303">
        <f t="shared" si="23"/>
        <v>1080</v>
      </c>
      <c r="J164" s="302"/>
      <c r="K164" s="298"/>
      <c r="L164" s="278"/>
      <c r="M164" s="278"/>
      <c r="N164" s="278"/>
      <c r="O164" s="278"/>
      <c r="P164" s="278"/>
      <c r="Q164" s="278"/>
      <c r="R164" s="278"/>
      <c r="S164" s="278"/>
      <c r="T164" s="278"/>
      <c r="U164" s="304"/>
      <c r="V164" s="305"/>
      <c r="W164" s="242"/>
      <c r="X164" s="242">
        <f>SUM(I164)</f>
        <v>1080</v>
      </c>
      <c r="Y164" s="242"/>
      <c r="Z164" s="242"/>
      <c r="AA164" s="242"/>
      <c r="AB164" s="242"/>
      <c r="AC164" s="242"/>
      <c r="AD164" s="242"/>
      <c r="AE164" s="242"/>
      <c r="AF164" s="242"/>
      <c r="AG164" s="242"/>
      <c r="AH164" s="242"/>
      <c r="AI164" s="242"/>
      <c r="AJ164" s="242"/>
      <c r="AK164" s="242"/>
      <c r="AL164" s="242"/>
      <c r="AM164" s="242"/>
      <c r="AN164" s="242"/>
      <c r="AO164" s="242"/>
      <c r="AP164" s="242"/>
      <c r="AQ164" s="242"/>
      <c r="AR164" s="242"/>
      <c r="AS164" s="242"/>
      <c r="AT164" s="278"/>
      <c r="AU164" s="278"/>
      <c r="AV164" s="278"/>
      <c r="AW164" s="278"/>
      <c r="AX164" s="293"/>
      <c r="AY164" s="304">
        <f t="shared" si="21"/>
        <v>0</v>
      </c>
    </row>
    <row r="165" spans="1:52" s="300" customFormat="1" ht="14.25" customHeight="1" thickBot="1" x14ac:dyDescent="0.25">
      <c r="A165" s="290">
        <v>6</v>
      </c>
      <c r="B165" s="432" t="s">
        <v>139</v>
      </c>
      <c r="C165" s="457">
        <v>750</v>
      </c>
      <c r="D165" s="430">
        <f t="shared" si="22"/>
        <v>-750</v>
      </c>
      <c r="E165" s="28" t="s">
        <v>138</v>
      </c>
      <c r="F165" s="431">
        <f t="shared" si="19"/>
        <v>286056.19750000007</v>
      </c>
      <c r="G165" s="332"/>
      <c r="H165" s="302">
        <v>7010</v>
      </c>
      <c r="I165" s="303">
        <f t="shared" si="23"/>
        <v>750</v>
      </c>
      <c r="J165" s="302"/>
      <c r="K165" s="298"/>
      <c r="L165" s="278"/>
      <c r="M165" s="278"/>
      <c r="N165" s="278"/>
      <c r="O165" s="278"/>
      <c r="P165" s="278"/>
      <c r="Q165" s="278"/>
      <c r="R165" s="278"/>
      <c r="S165" s="278"/>
      <c r="T165" s="278"/>
      <c r="U165" s="307"/>
      <c r="V165" s="308"/>
      <c r="W165" s="308"/>
      <c r="X165" s="308"/>
      <c r="Y165" s="278"/>
      <c r="Z165" s="308"/>
      <c r="AA165" s="308"/>
      <c r="AB165" s="308"/>
      <c r="AC165" s="308"/>
      <c r="AD165" s="308"/>
      <c r="AE165" s="308"/>
      <c r="AF165" s="308"/>
      <c r="AG165" s="308"/>
      <c r="AH165" s="308"/>
      <c r="AI165" s="308"/>
      <c r="AJ165" s="308"/>
      <c r="AK165" s="308"/>
      <c r="AL165" s="308"/>
      <c r="AM165" s="308"/>
      <c r="AN165" s="308"/>
      <c r="AO165" s="308"/>
      <c r="AP165" s="308"/>
      <c r="AQ165" s="308"/>
      <c r="AR165" s="308"/>
      <c r="AS165" s="308"/>
      <c r="AT165" s="309"/>
      <c r="AU165" s="309"/>
      <c r="AV165" s="309"/>
      <c r="AW165" s="308">
        <f>SUM(I165)</f>
        <v>750</v>
      </c>
      <c r="AX165" s="309"/>
      <c r="AY165" s="307">
        <f t="shared" si="21"/>
        <v>0</v>
      </c>
    </row>
    <row r="166" spans="1:52" s="300" customFormat="1" ht="14.25" customHeight="1" thickTop="1" thickBot="1" x14ac:dyDescent="0.25">
      <c r="A166" s="290"/>
      <c r="B166" s="413"/>
      <c r="C166" s="433">
        <f>SUM(C5:C165)</f>
        <v>462412.08249999996</v>
      </c>
      <c r="D166" s="413"/>
      <c r="E166" s="466" t="s">
        <v>287</v>
      </c>
      <c r="F166" s="431">
        <f t="shared" si="19"/>
        <v>286056.19750000007</v>
      </c>
      <c r="G166" s="333"/>
      <c r="H166" s="333"/>
      <c r="I166" s="333"/>
      <c r="J166" s="333"/>
      <c r="K166" s="278"/>
      <c r="L166" s="298"/>
      <c r="M166" s="278"/>
      <c r="N166" s="278"/>
      <c r="O166" s="278"/>
      <c r="P166" s="278"/>
      <c r="Q166" s="278"/>
      <c r="R166" s="278"/>
      <c r="S166" s="278"/>
      <c r="T166" s="242">
        <f>SUM(U166:BA166)</f>
        <v>68057.302499999991</v>
      </c>
      <c r="U166" s="334">
        <f>SUM(U139:U165)</f>
        <v>294.95</v>
      </c>
      <c r="V166" s="335">
        <f>SUM(V139:V165)</f>
        <v>708.65</v>
      </c>
      <c r="W166" s="335">
        <f t="shared" ref="W166:AX166" si="24">SUM(W139:W165)</f>
        <v>779.72749999999996</v>
      </c>
      <c r="X166" s="335">
        <f t="shared" si="24"/>
        <v>1080</v>
      </c>
      <c r="Y166" s="335">
        <f t="shared" si="24"/>
        <v>778.6875</v>
      </c>
      <c r="Z166" s="335">
        <f t="shared" si="24"/>
        <v>2500</v>
      </c>
      <c r="AA166" s="335">
        <f t="shared" si="24"/>
        <v>375</v>
      </c>
      <c r="AB166" s="335">
        <f t="shared" si="24"/>
        <v>7500</v>
      </c>
      <c r="AC166" s="335">
        <f t="shared" si="24"/>
        <v>2350</v>
      </c>
      <c r="AD166" s="335">
        <f t="shared" si="24"/>
        <v>1674</v>
      </c>
      <c r="AE166" s="335">
        <f t="shared" si="24"/>
        <v>8333</v>
      </c>
      <c r="AF166" s="335">
        <f t="shared" si="24"/>
        <v>150</v>
      </c>
      <c r="AG166" s="335">
        <f t="shared" si="24"/>
        <v>2750</v>
      </c>
      <c r="AH166" s="335">
        <f t="shared" si="24"/>
        <v>27200</v>
      </c>
      <c r="AI166" s="335">
        <f t="shared" si="24"/>
        <v>2000</v>
      </c>
      <c r="AJ166" s="335">
        <f t="shared" si="24"/>
        <v>4000</v>
      </c>
      <c r="AK166" s="335">
        <f t="shared" si="24"/>
        <v>250</v>
      </c>
      <c r="AL166" s="335">
        <f t="shared" si="24"/>
        <v>0</v>
      </c>
      <c r="AM166" s="335">
        <f t="shared" si="24"/>
        <v>200</v>
      </c>
      <c r="AN166" s="335">
        <f t="shared" si="24"/>
        <v>625</v>
      </c>
      <c r="AO166" s="335">
        <f t="shared" si="24"/>
        <v>0</v>
      </c>
      <c r="AP166" s="335">
        <f t="shared" si="24"/>
        <v>1833.35</v>
      </c>
      <c r="AQ166" s="335">
        <f t="shared" si="24"/>
        <v>111.1875</v>
      </c>
      <c r="AR166" s="335">
        <f t="shared" si="24"/>
        <v>63.75</v>
      </c>
      <c r="AS166" s="335">
        <f t="shared" si="24"/>
        <v>0</v>
      </c>
      <c r="AT166" s="335">
        <f t="shared" si="24"/>
        <v>0</v>
      </c>
      <c r="AU166" s="335">
        <f t="shared" si="24"/>
        <v>0</v>
      </c>
      <c r="AV166" s="335">
        <f t="shared" si="24"/>
        <v>0</v>
      </c>
      <c r="AW166" s="335">
        <f t="shared" si="24"/>
        <v>750</v>
      </c>
      <c r="AX166" s="335">
        <f t="shared" si="24"/>
        <v>1750</v>
      </c>
      <c r="AY166" s="336"/>
      <c r="AZ166" s="337"/>
    </row>
    <row r="167" spans="1:52" s="300" customFormat="1" ht="14.25" customHeight="1" thickTop="1" x14ac:dyDescent="0.2">
      <c r="A167" s="317">
        <v>6</v>
      </c>
      <c r="B167" s="148" t="s">
        <v>346</v>
      </c>
      <c r="C167" s="458"/>
      <c r="D167" s="435">
        <v>-90000</v>
      </c>
      <c r="E167" s="467" t="s">
        <v>347</v>
      </c>
      <c r="F167" s="435">
        <f t="shared" si="19"/>
        <v>196056.19750000007</v>
      </c>
      <c r="G167" s="333"/>
      <c r="H167" s="333"/>
      <c r="I167" s="333"/>
      <c r="J167" s="333"/>
      <c r="K167" s="278"/>
      <c r="L167" s="298"/>
      <c r="M167" s="278"/>
      <c r="N167" s="278"/>
      <c r="O167" s="278"/>
      <c r="P167" s="278"/>
      <c r="Q167" s="278"/>
      <c r="R167" s="278"/>
      <c r="S167" s="278"/>
      <c r="T167" s="242">
        <f>SUM(T166-C166)</f>
        <v>-394354.77999999997</v>
      </c>
      <c r="U167" s="310">
        <f t="shared" ref="U167:AX167" si="25">SUM(U166+U138+U112+U83+U51+U17)</f>
        <v>1574.75</v>
      </c>
      <c r="V167" s="236">
        <f t="shared" si="25"/>
        <v>4001.9</v>
      </c>
      <c r="W167" s="236">
        <f t="shared" si="25"/>
        <v>5172.9775</v>
      </c>
      <c r="X167" s="236">
        <f t="shared" si="25"/>
        <v>5400</v>
      </c>
      <c r="Y167" s="236">
        <f t="shared" si="25"/>
        <v>3893.4375</v>
      </c>
      <c r="Z167" s="236">
        <f t="shared" si="25"/>
        <v>15000</v>
      </c>
      <c r="AA167" s="236">
        <f t="shared" si="25"/>
        <v>82522.049999999988</v>
      </c>
      <c r="AB167" s="236">
        <f t="shared" si="25"/>
        <v>37500</v>
      </c>
      <c r="AC167" s="236">
        <f t="shared" si="25"/>
        <v>11750</v>
      </c>
      <c r="AD167" s="236">
        <f t="shared" si="25"/>
        <v>8370</v>
      </c>
      <c r="AE167" s="236">
        <f t="shared" si="25"/>
        <v>41665</v>
      </c>
      <c r="AF167" s="236">
        <f t="shared" si="25"/>
        <v>750</v>
      </c>
      <c r="AG167" s="236">
        <f t="shared" si="25"/>
        <v>13750</v>
      </c>
      <c r="AH167" s="236">
        <f t="shared" si="25"/>
        <v>136000</v>
      </c>
      <c r="AI167" s="236">
        <f t="shared" si="25"/>
        <v>10000</v>
      </c>
      <c r="AJ167" s="236">
        <f t="shared" si="25"/>
        <v>20000</v>
      </c>
      <c r="AK167" s="236">
        <f t="shared" si="25"/>
        <v>1250</v>
      </c>
      <c r="AL167" s="236">
        <f t="shared" si="25"/>
        <v>1500</v>
      </c>
      <c r="AM167" s="236">
        <f t="shared" si="25"/>
        <v>1000</v>
      </c>
      <c r="AN167" s="236">
        <f t="shared" si="25"/>
        <v>3125</v>
      </c>
      <c r="AO167" s="236">
        <f t="shared" si="25"/>
        <v>330.78</v>
      </c>
      <c r="AP167" s="236">
        <f t="shared" si="25"/>
        <v>9166.75</v>
      </c>
      <c r="AQ167" s="236">
        <f t="shared" si="25"/>
        <v>555.9375</v>
      </c>
      <c r="AR167" s="236">
        <f t="shared" si="25"/>
        <v>318.75</v>
      </c>
      <c r="AS167" s="236">
        <f t="shared" si="25"/>
        <v>1146</v>
      </c>
      <c r="AT167" s="236">
        <f t="shared" si="25"/>
        <v>19304.68</v>
      </c>
      <c r="AU167" s="236">
        <f t="shared" si="25"/>
        <v>8114.0700000000006</v>
      </c>
      <c r="AV167" s="236">
        <f t="shared" si="25"/>
        <v>4500</v>
      </c>
      <c r="AW167" s="236">
        <f t="shared" si="25"/>
        <v>4500</v>
      </c>
      <c r="AX167" s="236">
        <f t="shared" si="25"/>
        <v>10250</v>
      </c>
      <c r="AY167" s="310">
        <f>SUM(U167:AX167)</f>
        <v>462412.08250000002</v>
      </c>
    </row>
    <row r="168" spans="1:52" ht="15" thickBot="1" x14ac:dyDescent="0.35">
      <c r="K168" s="40"/>
      <c r="U168" s="358">
        <v>7850</v>
      </c>
      <c r="V168" s="359">
        <v>7910</v>
      </c>
      <c r="W168" s="359">
        <v>7950</v>
      </c>
      <c r="X168" s="359">
        <v>6730</v>
      </c>
      <c r="Y168" s="65">
        <v>7010</v>
      </c>
      <c r="Z168" s="65">
        <v>5710</v>
      </c>
      <c r="AA168" s="65">
        <v>5130</v>
      </c>
      <c r="AB168" s="65">
        <v>5510</v>
      </c>
      <c r="AC168" s="65">
        <v>7650</v>
      </c>
      <c r="AD168" s="65">
        <v>5750</v>
      </c>
      <c r="AE168" s="65">
        <v>5520</v>
      </c>
      <c r="AF168" s="65">
        <v>7090</v>
      </c>
      <c r="AG168" s="65">
        <v>8570</v>
      </c>
      <c r="AH168" s="65">
        <v>8510</v>
      </c>
      <c r="AI168" s="65">
        <v>8520</v>
      </c>
      <c r="AJ168" s="65">
        <v>8530</v>
      </c>
      <c r="AK168" s="65">
        <v>8590</v>
      </c>
      <c r="AL168" s="65">
        <v>5170</v>
      </c>
      <c r="AM168" s="65">
        <v>6770</v>
      </c>
      <c r="AN168" s="65">
        <v>5540</v>
      </c>
      <c r="AO168" s="65">
        <f t="shared" ref="AO168:AX168" si="26">SUM(AO4)</f>
        <v>6590</v>
      </c>
      <c r="AP168" s="65">
        <f t="shared" si="26"/>
        <v>6510</v>
      </c>
      <c r="AQ168" s="65">
        <f t="shared" si="26"/>
        <v>5780</v>
      </c>
      <c r="AR168" s="65">
        <f t="shared" si="26"/>
        <v>8540</v>
      </c>
      <c r="AS168" s="65">
        <f t="shared" si="26"/>
        <v>6720</v>
      </c>
      <c r="AT168" s="65">
        <f t="shared" si="26"/>
        <v>5880</v>
      </c>
      <c r="AU168" s="65">
        <f t="shared" si="26"/>
        <v>6550</v>
      </c>
      <c r="AV168" s="65">
        <f t="shared" si="26"/>
        <v>5840</v>
      </c>
      <c r="AW168" s="65">
        <f t="shared" si="26"/>
        <v>7010</v>
      </c>
      <c r="AX168" s="65">
        <f t="shared" si="26"/>
        <v>7280</v>
      </c>
      <c r="AY168" s="100">
        <f>SUM(AY167-C166)</f>
        <v>5.8207660913467407E-11</v>
      </c>
    </row>
    <row r="169" spans="1:52" ht="15" customHeight="1" x14ac:dyDescent="0.3">
      <c r="B169" s="599" t="s">
        <v>137</v>
      </c>
      <c r="C169" s="600"/>
      <c r="D169" s="600"/>
      <c r="E169" s="600"/>
      <c r="F169" s="600"/>
      <c r="G169" s="600"/>
      <c r="H169" s="600"/>
      <c r="I169" s="600"/>
      <c r="J169" s="600"/>
      <c r="K169" s="600"/>
      <c r="L169" s="600"/>
      <c r="M169" s="600"/>
      <c r="N169" s="600"/>
      <c r="O169" s="600"/>
      <c r="P169" s="600"/>
      <c r="Q169" s="600"/>
      <c r="R169" s="600"/>
      <c r="S169" s="600"/>
      <c r="T169" s="600"/>
      <c r="U169" s="600"/>
      <c r="V169" s="600"/>
      <c r="W169" s="600"/>
      <c r="X169" s="601"/>
    </row>
    <row r="170" spans="1:52" x14ac:dyDescent="0.3">
      <c r="B170" s="603" t="s">
        <v>136</v>
      </c>
      <c r="C170" s="604"/>
      <c r="D170" s="604"/>
      <c r="E170" s="604"/>
      <c r="F170" s="604"/>
      <c r="G170" s="604"/>
      <c r="H170" s="604"/>
      <c r="I170" s="604"/>
      <c r="J170" s="604"/>
      <c r="K170" s="604"/>
      <c r="L170" s="604"/>
      <c r="M170" s="604"/>
      <c r="N170" s="604"/>
      <c r="O170" s="604"/>
      <c r="P170" s="604"/>
      <c r="Q170" s="604"/>
      <c r="R170" s="604"/>
      <c r="S170" s="604"/>
      <c r="T170" s="604"/>
      <c r="U170" s="604"/>
      <c r="V170" s="604"/>
      <c r="W170" s="604"/>
      <c r="X170" s="605"/>
    </row>
    <row r="171" spans="1:52" x14ac:dyDescent="0.3">
      <c r="B171" s="459" t="s">
        <v>135</v>
      </c>
      <c r="C171" s="460" t="s">
        <v>134</v>
      </c>
      <c r="D171" s="606" t="s">
        <v>133</v>
      </c>
      <c r="E171" s="606"/>
      <c r="F171" s="460" t="s">
        <v>132</v>
      </c>
      <c r="G171" s="360"/>
      <c r="H171" s="360"/>
      <c r="I171" s="360"/>
      <c r="J171" s="360"/>
      <c r="K171" s="62"/>
      <c r="L171" s="361"/>
      <c r="M171" s="62"/>
      <c r="N171" s="62"/>
      <c r="O171" s="62"/>
      <c r="P171" s="62"/>
      <c r="Q171" s="62"/>
      <c r="R171" s="62"/>
      <c r="S171" s="62"/>
      <c r="T171" s="62"/>
      <c r="U171" s="26" t="s">
        <v>131</v>
      </c>
      <c r="V171" s="25"/>
      <c r="W171" s="24" t="s">
        <v>130</v>
      </c>
      <c r="X171" s="362" t="s">
        <v>129</v>
      </c>
    </row>
    <row r="172" spans="1:52" ht="15" customHeight="1" x14ac:dyDescent="0.3">
      <c r="B172" s="414"/>
      <c r="C172" s="415" t="s">
        <v>128</v>
      </c>
      <c r="D172" s="415">
        <v>4308159</v>
      </c>
      <c r="E172" s="363" t="s">
        <v>114</v>
      </c>
      <c r="F172" s="416">
        <v>78820</v>
      </c>
      <c r="G172" s="360"/>
      <c r="H172" s="360"/>
      <c r="I172" s="360"/>
      <c r="J172" s="360"/>
      <c r="K172" s="62"/>
      <c r="L172" s="361"/>
      <c r="M172" s="62"/>
      <c r="N172" s="62"/>
      <c r="O172" s="62"/>
      <c r="P172" s="62"/>
      <c r="Q172" s="62"/>
      <c r="R172" s="62"/>
      <c r="S172" s="62"/>
      <c r="T172" s="62"/>
      <c r="U172" s="576" t="s">
        <v>275</v>
      </c>
      <c r="V172" s="577"/>
      <c r="W172" s="364">
        <f>SUM(F172/2)</f>
        <v>39410</v>
      </c>
      <c r="X172" s="365">
        <v>2</v>
      </c>
    </row>
    <row r="173" spans="1:52" x14ac:dyDescent="0.3">
      <c r="B173" s="461" t="s">
        <v>263</v>
      </c>
      <c r="C173" s="417" t="s">
        <v>124</v>
      </c>
      <c r="D173" s="417">
        <v>6880</v>
      </c>
      <c r="E173" s="366" t="s">
        <v>112</v>
      </c>
      <c r="F173" s="418">
        <v>114059.67</v>
      </c>
      <c r="G173" s="360"/>
      <c r="H173" s="360"/>
      <c r="I173" s="360"/>
      <c r="J173" s="360"/>
      <c r="K173" s="62"/>
      <c r="L173" s="361"/>
      <c r="M173" s="62"/>
      <c r="N173" s="62"/>
      <c r="O173" s="62"/>
      <c r="P173" s="62"/>
      <c r="Q173" s="62"/>
      <c r="R173" s="62"/>
      <c r="S173" s="62"/>
      <c r="T173" s="62"/>
      <c r="U173" s="85"/>
      <c r="V173" s="86"/>
      <c r="W173" s="364"/>
      <c r="X173" s="365"/>
    </row>
    <row r="174" spans="1:52" x14ac:dyDescent="0.3">
      <c r="B174" s="461" t="s">
        <v>263</v>
      </c>
      <c r="C174" s="417" t="s">
        <v>127</v>
      </c>
      <c r="D174" s="417">
        <v>6884</v>
      </c>
      <c r="E174" s="366" t="s">
        <v>112</v>
      </c>
      <c r="F174" s="418">
        <v>112371.34</v>
      </c>
      <c r="G174" s="360"/>
      <c r="H174" s="360"/>
      <c r="I174" s="360"/>
      <c r="J174" s="360"/>
      <c r="K174" s="62"/>
      <c r="L174" s="361"/>
      <c r="M174" s="62"/>
      <c r="N174" s="62"/>
      <c r="O174" s="62"/>
      <c r="P174" s="62"/>
      <c r="Q174" s="62"/>
      <c r="R174" s="62"/>
      <c r="S174" s="62"/>
      <c r="T174" s="62"/>
      <c r="U174" s="93"/>
      <c r="V174" s="71"/>
      <c r="W174" s="364"/>
      <c r="X174" s="365"/>
    </row>
    <row r="175" spans="1:52" x14ac:dyDescent="0.3">
      <c r="B175" s="414"/>
      <c r="C175" s="415" t="s">
        <v>120</v>
      </c>
      <c r="D175" s="415">
        <v>4310638</v>
      </c>
      <c r="E175" s="363" t="s">
        <v>114</v>
      </c>
      <c r="F175" s="416">
        <v>262891.48</v>
      </c>
      <c r="G175" s="360"/>
      <c r="H175" s="360"/>
      <c r="I175" s="360"/>
      <c r="J175" s="360"/>
      <c r="K175" s="62"/>
      <c r="L175" s="361"/>
      <c r="M175" s="62"/>
      <c r="N175" s="62"/>
      <c r="O175" s="62"/>
      <c r="P175" s="62"/>
      <c r="Q175" s="62"/>
      <c r="R175" s="62"/>
      <c r="S175" s="62"/>
      <c r="T175" s="62"/>
      <c r="U175" s="578" t="s">
        <v>274</v>
      </c>
      <c r="V175" s="579"/>
      <c r="W175" s="364">
        <f>SUM(F175-W176)/3</f>
        <v>74493.82666666666</v>
      </c>
      <c r="X175" s="365">
        <v>3</v>
      </c>
    </row>
    <row r="176" spans="1:52" ht="15" customHeight="1" x14ac:dyDescent="0.3">
      <c r="B176" s="461" t="s">
        <v>263</v>
      </c>
      <c r="C176" s="417" t="s">
        <v>118</v>
      </c>
      <c r="D176" s="417">
        <v>6885</v>
      </c>
      <c r="E176" s="366" t="s">
        <v>112</v>
      </c>
      <c r="F176" s="418">
        <v>119172.22</v>
      </c>
      <c r="G176" s="360"/>
      <c r="H176" s="360"/>
      <c r="I176" s="360"/>
      <c r="J176" s="360"/>
      <c r="K176" s="62"/>
      <c r="L176" s="361"/>
      <c r="M176" s="62"/>
      <c r="N176" s="62"/>
      <c r="O176" s="62"/>
      <c r="P176" s="62"/>
      <c r="Q176" s="62"/>
      <c r="R176" s="62"/>
      <c r="S176" s="62"/>
      <c r="T176" s="62"/>
      <c r="U176" s="573" t="s">
        <v>273</v>
      </c>
      <c r="V176" s="602"/>
      <c r="W176" s="364">
        <f>W172</f>
        <v>39410</v>
      </c>
      <c r="X176" s="365">
        <v>1</v>
      </c>
    </row>
    <row r="177" spans="2:24" x14ac:dyDescent="0.3">
      <c r="B177" s="461" t="s">
        <v>263</v>
      </c>
      <c r="C177" s="417" t="s">
        <v>127</v>
      </c>
      <c r="D177" s="417">
        <v>6884</v>
      </c>
      <c r="E177" s="366" t="s">
        <v>112</v>
      </c>
      <c r="F177" s="418">
        <v>112371.34</v>
      </c>
      <c r="G177" s="360"/>
      <c r="H177" s="360"/>
      <c r="I177" s="360"/>
      <c r="J177" s="360"/>
      <c r="K177" s="62"/>
      <c r="L177" s="361"/>
      <c r="M177" s="62"/>
      <c r="N177" s="62"/>
      <c r="O177" s="62"/>
      <c r="P177" s="62"/>
      <c r="Q177" s="62"/>
      <c r="R177" s="62"/>
      <c r="S177" s="62"/>
      <c r="T177" s="62"/>
      <c r="U177" s="93"/>
      <c r="V177" s="71"/>
      <c r="W177" s="364"/>
      <c r="X177" s="365"/>
    </row>
    <row r="178" spans="2:24" x14ac:dyDescent="0.3">
      <c r="B178" s="461" t="s">
        <v>263</v>
      </c>
      <c r="C178" s="417" t="s">
        <v>126</v>
      </c>
      <c r="D178" s="417">
        <v>6879</v>
      </c>
      <c r="E178" s="366" t="s">
        <v>112</v>
      </c>
      <c r="F178" s="418">
        <v>60782.47</v>
      </c>
      <c r="G178" s="360"/>
      <c r="H178" s="360"/>
      <c r="I178" s="360"/>
      <c r="J178" s="360"/>
      <c r="K178" s="62"/>
      <c r="L178" s="361"/>
      <c r="M178" s="62"/>
      <c r="N178" s="62"/>
      <c r="O178" s="62"/>
      <c r="P178" s="62"/>
      <c r="Q178" s="62"/>
      <c r="R178" s="62"/>
      <c r="S178" s="62"/>
      <c r="T178" s="62"/>
      <c r="U178" s="93"/>
      <c r="V178" s="71"/>
      <c r="W178" s="364"/>
      <c r="X178" s="365"/>
    </row>
    <row r="179" spans="2:24" x14ac:dyDescent="0.3">
      <c r="B179" s="461" t="s">
        <v>263</v>
      </c>
      <c r="C179" s="417" t="s">
        <v>125</v>
      </c>
      <c r="D179" s="417">
        <v>6877</v>
      </c>
      <c r="E179" s="366" t="s">
        <v>112</v>
      </c>
      <c r="F179" s="418">
        <v>114059.67</v>
      </c>
      <c r="G179" s="360"/>
      <c r="H179" s="360"/>
      <c r="I179" s="360"/>
      <c r="J179" s="360"/>
      <c r="K179" s="62"/>
      <c r="L179" s="361"/>
      <c r="M179" s="62"/>
      <c r="N179" s="62"/>
      <c r="O179" s="62"/>
      <c r="P179" s="62"/>
      <c r="Q179" s="62"/>
      <c r="R179" s="62"/>
      <c r="S179" s="62"/>
      <c r="T179" s="62"/>
      <c r="U179" s="93"/>
      <c r="V179" s="71"/>
      <c r="W179" s="364"/>
      <c r="X179" s="365"/>
    </row>
    <row r="180" spans="2:24" x14ac:dyDescent="0.3">
      <c r="B180" s="461" t="s">
        <v>263</v>
      </c>
      <c r="C180" s="417" t="s">
        <v>124</v>
      </c>
      <c r="D180" s="417">
        <v>6880</v>
      </c>
      <c r="E180" s="366" t="s">
        <v>112</v>
      </c>
      <c r="F180" s="418">
        <v>114059.67</v>
      </c>
      <c r="G180" s="360"/>
      <c r="H180" s="360"/>
      <c r="I180" s="360"/>
      <c r="J180" s="360"/>
      <c r="K180" s="62"/>
      <c r="L180" s="361"/>
      <c r="M180" s="62"/>
      <c r="N180" s="62"/>
      <c r="O180" s="62"/>
      <c r="P180" s="62"/>
      <c r="Q180" s="62"/>
      <c r="R180" s="62"/>
      <c r="S180" s="62"/>
      <c r="T180" s="62"/>
      <c r="U180" s="93"/>
      <c r="V180" s="71"/>
      <c r="W180" s="364"/>
      <c r="X180" s="365"/>
    </row>
    <row r="181" spans="2:24" x14ac:dyDescent="0.3">
      <c r="B181" s="414"/>
      <c r="C181" s="415" t="s">
        <v>123</v>
      </c>
      <c r="D181" s="415">
        <v>4313171</v>
      </c>
      <c r="E181" s="363" t="s">
        <v>114</v>
      </c>
      <c r="F181" s="416">
        <v>81261.600000000006</v>
      </c>
      <c r="G181" s="360"/>
      <c r="H181" s="360"/>
      <c r="I181" s="360"/>
      <c r="J181" s="360"/>
      <c r="K181" s="62"/>
      <c r="L181" s="361"/>
      <c r="M181" s="62"/>
      <c r="N181" s="62"/>
      <c r="O181" s="62"/>
      <c r="P181" s="62"/>
      <c r="Q181" s="62"/>
      <c r="R181" s="62"/>
      <c r="S181" s="62"/>
      <c r="T181" s="62"/>
      <c r="U181" s="573" t="s">
        <v>272</v>
      </c>
      <c r="V181" s="602"/>
      <c r="W181" s="364">
        <f>SUM(F181/2)</f>
        <v>40630.800000000003</v>
      </c>
      <c r="X181" s="365">
        <v>2</v>
      </c>
    </row>
    <row r="182" spans="2:24" ht="15" customHeight="1" x14ac:dyDescent="0.3">
      <c r="B182" s="461" t="s">
        <v>263</v>
      </c>
      <c r="C182" s="417" t="s">
        <v>119</v>
      </c>
      <c r="D182" s="417">
        <v>6895</v>
      </c>
      <c r="E182" s="366" t="s">
        <v>112</v>
      </c>
      <c r="F182" s="418">
        <v>119172.22</v>
      </c>
      <c r="G182" s="360"/>
      <c r="H182" s="360"/>
      <c r="I182" s="360"/>
      <c r="J182" s="360"/>
      <c r="K182" s="62"/>
      <c r="L182" s="361"/>
      <c r="M182" s="62"/>
      <c r="N182" s="62"/>
      <c r="O182" s="62"/>
      <c r="P182" s="62"/>
      <c r="Q182" s="62"/>
      <c r="R182" s="62"/>
      <c r="S182" s="62"/>
      <c r="T182" s="62"/>
      <c r="U182" s="93"/>
      <c r="V182" s="71"/>
      <c r="W182" s="364"/>
      <c r="X182" s="365"/>
    </row>
    <row r="183" spans="2:24" x14ac:dyDescent="0.3">
      <c r="B183" s="461" t="s">
        <v>263</v>
      </c>
      <c r="C183" s="417" t="s">
        <v>120</v>
      </c>
      <c r="D183" s="417">
        <v>6894</v>
      </c>
      <c r="E183" s="366" t="s">
        <v>112</v>
      </c>
      <c r="F183" s="418">
        <v>119172.22</v>
      </c>
      <c r="G183" s="360"/>
      <c r="H183" s="360"/>
      <c r="I183" s="360"/>
      <c r="J183" s="360"/>
      <c r="K183" s="62"/>
      <c r="L183" s="361"/>
      <c r="M183" s="62"/>
      <c r="N183" s="62"/>
      <c r="O183" s="62"/>
      <c r="P183" s="62"/>
      <c r="Q183" s="62"/>
      <c r="R183" s="62"/>
      <c r="S183" s="62"/>
      <c r="T183" s="62"/>
      <c r="U183" s="93"/>
      <c r="V183" s="71"/>
      <c r="W183" s="364"/>
      <c r="X183" s="365"/>
    </row>
    <row r="184" spans="2:24" x14ac:dyDescent="0.3">
      <c r="B184" s="414"/>
      <c r="C184" s="415" t="s">
        <v>122</v>
      </c>
      <c r="D184" s="415">
        <v>4315955</v>
      </c>
      <c r="E184" s="363" t="s">
        <v>114</v>
      </c>
      <c r="F184" s="416">
        <v>342423.47</v>
      </c>
      <c r="G184" s="360"/>
      <c r="H184" s="360"/>
      <c r="I184" s="360"/>
      <c r="J184" s="360"/>
      <c r="K184" s="62"/>
      <c r="L184" s="361"/>
      <c r="M184" s="62"/>
      <c r="N184" s="62"/>
      <c r="O184" s="62"/>
      <c r="P184" s="62"/>
      <c r="Q184" s="62"/>
      <c r="R184" s="62"/>
      <c r="S184" s="62"/>
      <c r="T184" s="62"/>
      <c r="U184" s="573" t="s">
        <v>271</v>
      </c>
      <c r="V184" s="602"/>
      <c r="W184" s="364">
        <f>SUM(F184-F189)/3</f>
        <v>100597.55666666666</v>
      </c>
      <c r="X184" s="365">
        <v>3</v>
      </c>
    </row>
    <row r="185" spans="2:24" ht="15" customHeight="1" x14ac:dyDescent="0.3">
      <c r="B185" s="461" t="s">
        <v>263</v>
      </c>
      <c r="C185" s="417" t="s">
        <v>121</v>
      </c>
      <c r="D185" s="417">
        <v>6897</v>
      </c>
      <c r="E185" s="366" t="s">
        <v>112</v>
      </c>
      <c r="F185" s="418">
        <v>185340.63</v>
      </c>
      <c r="G185" s="360"/>
      <c r="H185" s="360"/>
      <c r="I185" s="360"/>
      <c r="J185" s="360"/>
      <c r="K185" s="62"/>
      <c r="L185" s="361"/>
      <c r="M185" s="62"/>
      <c r="N185" s="62"/>
      <c r="O185" s="62"/>
      <c r="P185" s="62"/>
      <c r="Q185" s="62"/>
      <c r="R185" s="62"/>
      <c r="S185" s="62"/>
      <c r="T185" s="62"/>
      <c r="U185" s="573" t="s">
        <v>270</v>
      </c>
      <c r="V185" s="602"/>
      <c r="W185" s="364">
        <f>SUM(W189)</f>
        <v>40630.800000000003</v>
      </c>
      <c r="X185" s="365">
        <v>1</v>
      </c>
    </row>
    <row r="186" spans="2:24" x14ac:dyDescent="0.3">
      <c r="B186" s="461" t="s">
        <v>263</v>
      </c>
      <c r="C186" s="417" t="s">
        <v>120</v>
      </c>
      <c r="D186" s="417">
        <v>6894</v>
      </c>
      <c r="E186" s="366" t="s">
        <v>112</v>
      </c>
      <c r="F186" s="418">
        <v>119172.22</v>
      </c>
      <c r="G186" s="360"/>
      <c r="H186" s="360"/>
      <c r="I186" s="360"/>
      <c r="J186" s="360"/>
      <c r="K186" s="62"/>
      <c r="L186" s="361"/>
      <c r="M186" s="62"/>
      <c r="N186" s="62"/>
      <c r="O186" s="62"/>
      <c r="P186" s="62"/>
      <c r="Q186" s="62"/>
      <c r="R186" s="62"/>
      <c r="S186" s="62"/>
      <c r="T186" s="62"/>
      <c r="U186" s="93"/>
      <c r="V186" s="71"/>
      <c r="W186" s="364"/>
      <c r="X186" s="365"/>
    </row>
    <row r="187" spans="2:24" x14ac:dyDescent="0.3">
      <c r="B187" s="461" t="s">
        <v>263</v>
      </c>
      <c r="C187" s="417" t="s">
        <v>119</v>
      </c>
      <c r="D187" s="417">
        <v>6895</v>
      </c>
      <c r="E187" s="366" t="s">
        <v>112</v>
      </c>
      <c r="F187" s="418">
        <v>119172.22</v>
      </c>
      <c r="G187" s="360"/>
      <c r="H187" s="360"/>
      <c r="I187" s="360"/>
      <c r="J187" s="360"/>
      <c r="K187" s="62"/>
      <c r="L187" s="361"/>
      <c r="M187" s="62"/>
      <c r="N187" s="62"/>
      <c r="O187" s="62"/>
      <c r="P187" s="62"/>
      <c r="Q187" s="62"/>
      <c r="R187" s="62"/>
      <c r="S187" s="62"/>
      <c r="T187" s="62"/>
      <c r="U187" s="93"/>
      <c r="V187" s="71"/>
      <c r="W187" s="364"/>
      <c r="X187" s="365"/>
    </row>
    <row r="188" spans="2:24" x14ac:dyDescent="0.3">
      <c r="B188" s="461" t="s">
        <v>263</v>
      </c>
      <c r="C188" s="417" t="s">
        <v>118</v>
      </c>
      <c r="D188" s="417">
        <v>6885</v>
      </c>
      <c r="E188" s="366" t="s">
        <v>112</v>
      </c>
      <c r="F188" s="418">
        <v>119172.22</v>
      </c>
      <c r="G188" s="360"/>
      <c r="H188" s="360"/>
      <c r="I188" s="360"/>
      <c r="J188" s="360"/>
      <c r="K188" s="62"/>
      <c r="L188" s="361"/>
      <c r="M188" s="62"/>
      <c r="N188" s="62"/>
      <c r="O188" s="62"/>
      <c r="P188" s="62"/>
      <c r="Q188" s="62"/>
      <c r="R188" s="62"/>
      <c r="S188" s="62"/>
      <c r="T188" s="62"/>
      <c r="U188" s="93"/>
      <c r="V188" s="71"/>
      <c r="W188" s="364"/>
      <c r="X188" s="365"/>
    </row>
    <row r="189" spans="2:24" x14ac:dyDescent="0.3">
      <c r="B189" s="414"/>
      <c r="C189" s="415" t="s">
        <v>117</v>
      </c>
      <c r="D189" s="415">
        <v>4317338</v>
      </c>
      <c r="E189" s="363" t="s">
        <v>114</v>
      </c>
      <c r="F189" s="416">
        <v>40630.800000000003</v>
      </c>
      <c r="G189" s="360"/>
      <c r="H189" s="360"/>
      <c r="I189" s="360"/>
      <c r="J189" s="360"/>
      <c r="K189" s="62"/>
      <c r="L189" s="361"/>
      <c r="M189" s="62"/>
      <c r="N189" s="62"/>
      <c r="O189" s="62"/>
      <c r="P189" s="62"/>
      <c r="Q189" s="62"/>
      <c r="R189" s="62"/>
      <c r="S189" s="62"/>
      <c r="T189" s="62"/>
      <c r="U189" s="573" t="s">
        <v>276</v>
      </c>
      <c r="V189" s="602"/>
      <c r="W189" s="364">
        <f>SUM(F189)</f>
        <v>40630.800000000003</v>
      </c>
      <c r="X189" s="365">
        <v>1</v>
      </c>
    </row>
    <row r="190" spans="2:24" x14ac:dyDescent="0.3">
      <c r="B190" s="461" t="s">
        <v>263</v>
      </c>
      <c r="C190" s="417" t="s">
        <v>116</v>
      </c>
      <c r="D190" s="417">
        <v>6898</v>
      </c>
      <c r="E190" s="366" t="s">
        <v>112</v>
      </c>
      <c r="F190" s="418">
        <v>119172.22</v>
      </c>
      <c r="G190" s="360"/>
      <c r="H190" s="360"/>
      <c r="I190" s="360"/>
      <c r="J190" s="360"/>
      <c r="K190" s="62"/>
      <c r="L190" s="361"/>
      <c r="M190" s="62"/>
      <c r="N190" s="62"/>
      <c r="O190" s="62"/>
      <c r="P190" s="62"/>
      <c r="Q190" s="62"/>
      <c r="R190" s="62"/>
      <c r="S190" s="62"/>
      <c r="T190" s="62"/>
      <c r="U190" s="93"/>
      <c r="V190" s="71"/>
      <c r="W190" s="364"/>
      <c r="X190" s="365"/>
    </row>
    <row r="191" spans="2:24" x14ac:dyDescent="0.3">
      <c r="B191" s="414"/>
      <c r="C191" s="415" t="s">
        <v>115</v>
      </c>
      <c r="D191" s="415">
        <v>4318254</v>
      </c>
      <c r="E191" s="363" t="s">
        <v>114</v>
      </c>
      <c r="F191" s="416">
        <v>40630.800000000003</v>
      </c>
      <c r="G191" s="360"/>
      <c r="H191" s="360"/>
      <c r="I191" s="360"/>
      <c r="J191" s="360"/>
      <c r="K191" s="62"/>
      <c r="L191" s="361"/>
      <c r="M191" s="62"/>
      <c r="N191" s="62"/>
      <c r="O191" s="62"/>
      <c r="P191" s="62"/>
      <c r="Q191" s="62"/>
      <c r="R191" s="62"/>
      <c r="S191" s="62"/>
      <c r="T191" s="62"/>
      <c r="U191" s="573" t="s">
        <v>277</v>
      </c>
      <c r="V191" s="602"/>
      <c r="W191" s="364">
        <f>SUM(W189)</f>
        <v>40630.800000000003</v>
      </c>
      <c r="X191" s="365">
        <v>1</v>
      </c>
    </row>
    <row r="192" spans="2:24" x14ac:dyDescent="0.3">
      <c r="B192" s="461" t="s">
        <v>263</v>
      </c>
      <c r="C192" s="417" t="s">
        <v>113</v>
      </c>
      <c r="D192" s="417">
        <v>6901</v>
      </c>
      <c r="E192" s="366" t="s">
        <v>112</v>
      </c>
      <c r="F192" s="418">
        <v>119172.22</v>
      </c>
      <c r="G192" s="360"/>
      <c r="H192" s="360"/>
      <c r="I192" s="360"/>
      <c r="J192" s="360"/>
      <c r="K192" s="62"/>
      <c r="L192" s="361"/>
      <c r="M192" s="62"/>
      <c r="N192" s="62"/>
      <c r="O192" s="62"/>
      <c r="P192" s="62"/>
      <c r="Q192" s="62"/>
      <c r="R192" s="62"/>
      <c r="S192" s="62"/>
      <c r="T192" s="62"/>
      <c r="U192" s="22"/>
      <c r="V192" s="367"/>
      <c r="W192" s="368"/>
      <c r="X192" s="365"/>
    </row>
    <row r="193" spans="2:24" ht="9.75" customHeight="1" x14ac:dyDescent="0.3">
      <c r="B193" s="414"/>
      <c r="C193" s="419"/>
      <c r="D193" s="419"/>
      <c r="E193" s="367"/>
      <c r="F193" s="420"/>
      <c r="G193" s="360"/>
      <c r="H193" s="360"/>
      <c r="I193" s="360"/>
      <c r="J193" s="360"/>
      <c r="K193" s="62"/>
      <c r="L193" s="361"/>
      <c r="M193" s="62"/>
      <c r="N193" s="62"/>
      <c r="O193" s="62"/>
      <c r="P193" s="62"/>
      <c r="Q193" s="62"/>
      <c r="R193" s="62"/>
      <c r="S193" s="62"/>
      <c r="T193" s="62"/>
      <c r="W193" s="62"/>
      <c r="X193" s="369"/>
    </row>
    <row r="194" spans="2:24" x14ac:dyDescent="0.3">
      <c r="B194" s="595" t="s">
        <v>111</v>
      </c>
      <c r="C194" s="596"/>
      <c r="D194" s="421">
        <f>SUM(103+39+45+51+36+12)/6</f>
        <v>47.666666666666664</v>
      </c>
      <c r="E194" s="468" t="s">
        <v>109</v>
      </c>
      <c r="F194" s="422">
        <f>SUM(C191+D194)</f>
        <v>43899.666666666664</v>
      </c>
      <c r="G194" s="346"/>
      <c r="H194" s="346"/>
      <c r="I194" s="346"/>
      <c r="J194" s="346"/>
      <c r="K194" s="347"/>
      <c r="L194" s="348"/>
      <c r="M194" s="347"/>
      <c r="N194" s="347"/>
      <c r="O194" s="347"/>
      <c r="P194" s="347"/>
      <c r="Q194" s="347"/>
      <c r="R194" s="347"/>
      <c r="S194" s="347"/>
      <c r="T194" s="347"/>
      <c r="U194" s="349">
        <f>SUM(F194+D194)</f>
        <v>43947.333333333328</v>
      </c>
      <c r="V194" s="345">
        <f>SUM(U194+D194)</f>
        <v>43994.999999999993</v>
      </c>
      <c r="W194" s="350">
        <f>SUM(V194+D194)</f>
        <v>44042.666666666657</v>
      </c>
      <c r="X194" s="351">
        <f>SUM(W194+D194)</f>
        <v>44090.333333333321</v>
      </c>
    </row>
    <row r="195" spans="2:24" x14ac:dyDescent="0.3">
      <c r="B195" s="597" t="s">
        <v>110</v>
      </c>
      <c r="C195" s="598"/>
      <c r="D195" s="423">
        <f>SUM(100+96)/2</f>
        <v>98</v>
      </c>
      <c r="E195" s="469" t="s">
        <v>109</v>
      </c>
      <c r="F195" s="425">
        <f>SUM(C184+D195)</f>
        <v>43902</v>
      </c>
      <c r="G195" s="353"/>
      <c r="H195" s="353"/>
      <c r="I195" s="353"/>
      <c r="J195" s="353"/>
      <c r="K195" s="25"/>
      <c r="L195" s="354"/>
      <c r="M195" s="25"/>
      <c r="N195" s="25"/>
      <c r="O195" s="25"/>
      <c r="P195" s="25"/>
      <c r="Q195" s="25"/>
      <c r="R195" s="25"/>
      <c r="S195" s="25"/>
      <c r="T195" s="25"/>
      <c r="U195" s="355">
        <f>SUM(F195+D195)</f>
        <v>44000</v>
      </c>
      <c r="V195" s="352">
        <f>SUM(U195+D195)</f>
        <v>44098</v>
      </c>
      <c r="W195" s="356">
        <f>SUM(V195+D195)</f>
        <v>44196</v>
      </c>
      <c r="X195" s="357">
        <f>SUM(W195+D195)</f>
        <v>44294</v>
      </c>
    </row>
  </sheetData>
  <mergeCells count="22">
    <mergeCell ref="A1:G1"/>
    <mergeCell ref="A2:G2"/>
    <mergeCell ref="H157:I157"/>
    <mergeCell ref="H72:I72"/>
    <mergeCell ref="H39:I39"/>
    <mergeCell ref="H129:I129"/>
    <mergeCell ref="H101:I101"/>
    <mergeCell ref="G4:J4"/>
    <mergeCell ref="A3:F3"/>
    <mergeCell ref="B194:C194"/>
    <mergeCell ref="B195:C195"/>
    <mergeCell ref="B169:X169"/>
    <mergeCell ref="U181:V181"/>
    <mergeCell ref="U184:V184"/>
    <mergeCell ref="U185:V185"/>
    <mergeCell ref="U189:V189"/>
    <mergeCell ref="U191:V191"/>
    <mergeCell ref="B170:X170"/>
    <mergeCell ref="D171:E171"/>
    <mergeCell ref="U172:V172"/>
    <mergeCell ref="U175:V175"/>
    <mergeCell ref="U176:V176"/>
  </mergeCells>
  <printOptions horizontalCentered="1" verticalCentered="1"/>
  <pageMargins left="0.25" right="0.25" top="0.25" bottom="0.25" header="0" footer="0"/>
  <pageSetup scale="93" fitToHeight="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O103"/>
  <sheetViews>
    <sheetView workbookViewId="0">
      <pane ySplit="5" topLeftCell="A75" activePane="bottomLeft" state="frozen"/>
      <selection activeCell="A5" sqref="A5"/>
      <selection pane="bottomLeft" activeCell="J105" sqref="J105"/>
    </sheetView>
  </sheetViews>
  <sheetFormatPr defaultRowHeight="14.4" x14ac:dyDescent="0.3"/>
  <cols>
    <col min="1" max="1" width="35" bestFit="1" customWidth="1"/>
    <col min="2" max="7" width="10.44140625" bestFit="1" customWidth="1"/>
    <col min="8" max="8" width="10.109375" bestFit="1" customWidth="1"/>
    <col min="9" max="10" width="11" bestFit="1" customWidth="1"/>
    <col min="11" max="13" width="10.109375" bestFit="1" customWidth="1"/>
    <col min="14" max="14" width="11.6640625" bestFit="1" customWidth="1"/>
    <col min="15" max="15" width="18" style="7" bestFit="1" customWidth="1"/>
  </cols>
  <sheetData>
    <row r="1" spans="1:15" ht="15.6" x14ac:dyDescent="0.3">
      <c r="A1" s="584" t="s">
        <v>108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</row>
    <row r="2" spans="1:15" ht="15.6" x14ac:dyDescent="0.3">
      <c r="A2" s="584" t="s">
        <v>371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</row>
    <row r="3" spans="1:15" x14ac:dyDescent="0.3">
      <c r="A3" s="587" t="s">
        <v>381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</row>
    <row r="5" spans="1:15" x14ac:dyDescent="0.3">
      <c r="A5" s="221"/>
      <c r="B5" s="222" t="s">
        <v>0</v>
      </c>
      <c r="C5" s="222" t="s">
        <v>1</v>
      </c>
      <c r="D5" s="222" t="s">
        <v>2</v>
      </c>
      <c r="E5" s="222" t="s">
        <v>3</v>
      </c>
      <c r="F5" s="222" t="s">
        <v>4</v>
      </c>
      <c r="G5" s="222" t="s">
        <v>5</v>
      </c>
      <c r="H5" s="222" t="s">
        <v>6</v>
      </c>
      <c r="I5" s="222" t="s">
        <v>7</v>
      </c>
      <c r="J5" s="222" t="s">
        <v>8</v>
      </c>
      <c r="K5" s="222" t="s">
        <v>9</v>
      </c>
      <c r="L5" s="222" t="s">
        <v>10</v>
      </c>
      <c r="M5" s="222" t="s">
        <v>11</v>
      </c>
      <c r="N5" s="222" t="s">
        <v>12</v>
      </c>
      <c r="O5" s="223" t="s">
        <v>135</v>
      </c>
    </row>
    <row r="6" spans="1:15" x14ac:dyDescent="0.3">
      <c r="A6" s="1" t="s">
        <v>13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x14ac:dyDescent="0.3">
      <c r="A7" s="1" t="s">
        <v>14</v>
      </c>
      <c r="B7" s="127">
        <f t="shared" ref="B7:M7" si="0">78541.42</f>
        <v>78541.42</v>
      </c>
      <c r="C7" s="127">
        <f t="shared" si="0"/>
        <v>78541.42</v>
      </c>
      <c r="D7" s="127">
        <f t="shared" si="0"/>
        <v>78541.42</v>
      </c>
      <c r="E7" s="127">
        <f t="shared" si="0"/>
        <v>78541.42</v>
      </c>
      <c r="F7" s="127">
        <f t="shared" si="0"/>
        <v>78541.42</v>
      </c>
      <c r="G7" s="127">
        <f t="shared" si="0"/>
        <v>78541.42</v>
      </c>
      <c r="H7" s="127">
        <f t="shared" si="0"/>
        <v>78541.42</v>
      </c>
      <c r="I7" s="127">
        <f t="shared" si="0"/>
        <v>78541.42</v>
      </c>
      <c r="J7" s="127">
        <f t="shared" si="0"/>
        <v>78541.42</v>
      </c>
      <c r="K7" s="127">
        <f t="shared" si="0"/>
        <v>78541.42</v>
      </c>
      <c r="L7" s="127">
        <f t="shared" si="0"/>
        <v>78541.42</v>
      </c>
      <c r="M7" s="127">
        <f t="shared" si="0"/>
        <v>78541.42</v>
      </c>
      <c r="N7" s="127">
        <f t="shared" ref="N7:N16" si="1">(((((((((((B7)+(C7))+(D7))+(E7))+(F7))+(G7))+(H7))+(I7))+(J7))+(K7))+(L7))+(M7)</f>
        <v>942497.04000000015</v>
      </c>
    </row>
    <row r="8" spans="1:15" x14ac:dyDescent="0.3">
      <c r="A8" s="1" t="s">
        <v>15</v>
      </c>
      <c r="B8" s="2"/>
      <c r="C8" s="2"/>
      <c r="D8" s="2"/>
      <c r="E8" s="3">
        <f>66168.41</f>
        <v>66168.41</v>
      </c>
      <c r="F8" s="2"/>
      <c r="G8" s="2"/>
      <c r="H8" s="2"/>
      <c r="I8" s="2"/>
      <c r="J8" s="2"/>
      <c r="K8" s="2"/>
      <c r="L8" s="2"/>
      <c r="M8" s="2"/>
      <c r="N8" s="3">
        <f t="shared" si="1"/>
        <v>66168.41</v>
      </c>
    </row>
    <row r="9" spans="1:15" x14ac:dyDescent="0.3">
      <c r="A9" s="1" t="s">
        <v>16</v>
      </c>
      <c r="B9" s="127">
        <f t="shared" ref="B9:M9" si="2">40630.8</f>
        <v>40630.800000000003</v>
      </c>
      <c r="C9" s="127">
        <f t="shared" si="2"/>
        <v>40630.800000000003</v>
      </c>
      <c r="D9" s="127">
        <f t="shared" si="2"/>
        <v>40630.800000000003</v>
      </c>
      <c r="E9" s="127">
        <f t="shared" si="2"/>
        <v>40630.800000000003</v>
      </c>
      <c r="F9" s="127">
        <f t="shared" si="2"/>
        <v>40630.800000000003</v>
      </c>
      <c r="G9" s="127">
        <f t="shared" si="2"/>
        <v>40630.800000000003</v>
      </c>
      <c r="H9" s="127">
        <f t="shared" si="2"/>
        <v>40630.800000000003</v>
      </c>
      <c r="I9" s="127">
        <f t="shared" si="2"/>
        <v>40630.800000000003</v>
      </c>
      <c r="J9" s="127">
        <f t="shared" si="2"/>
        <v>40630.800000000003</v>
      </c>
      <c r="K9" s="127">
        <f t="shared" si="2"/>
        <v>40630.800000000003</v>
      </c>
      <c r="L9" s="127">
        <f t="shared" si="2"/>
        <v>40630.800000000003</v>
      </c>
      <c r="M9" s="127">
        <f t="shared" si="2"/>
        <v>40630.800000000003</v>
      </c>
      <c r="N9" s="127">
        <f t="shared" si="1"/>
        <v>487569.59999999992</v>
      </c>
    </row>
    <row r="10" spans="1:15" x14ac:dyDescent="0.3">
      <c r="A10" s="1" t="s">
        <v>17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>
        <f t="shared" si="1"/>
        <v>0</v>
      </c>
    </row>
    <row r="11" spans="1:15" x14ac:dyDescent="0.3">
      <c r="A11" s="1" t="s">
        <v>18</v>
      </c>
      <c r="B11" s="2"/>
      <c r="C11" s="2"/>
      <c r="D11" s="3">
        <f>0</f>
        <v>0</v>
      </c>
      <c r="E11" s="2"/>
      <c r="F11" s="2"/>
      <c r="G11" s="2"/>
      <c r="H11" s="2"/>
      <c r="I11" s="2"/>
      <c r="J11" s="2"/>
      <c r="K11" s="2"/>
      <c r="L11" s="2"/>
      <c r="M11" s="2"/>
      <c r="N11" s="3">
        <f t="shared" si="1"/>
        <v>0</v>
      </c>
    </row>
    <row r="12" spans="1:15" x14ac:dyDescent="0.3">
      <c r="A12" s="1" t="s">
        <v>19</v>
      </c>
      <c r="B12" s="2"/>
      <c r="C12" s="3">
        <f>1350</f>
        <v>1350</v>
      </c>
      <c r="D12" s="3">
        <f>500</f>
        <v>500</v>
      </c>
      <c r="E12" s="2"/>
      <c r="F12" s="3">
        <f>850</f>
        <v>850</v>
      </c>
      <c r="G12" s="2"/>
      <c r="H12" s="2"/>
      <c r="I12" s="2"/>
      <c r="J12" s="2"/>
      <c r="K12" s="2"/>
      <c r="L12" s="2"/>
      <c r="M12" s="2"/>
      <c r="N12" s="3">
        <f t="shared" si="1"/>
        <v>2700</v>
      </c>
    </row>
    <row r="13" spans="1:15" x14ac:dyDescent="0.3">
      <c r="A13" s="1" t="s">
        <v>20</v>
      </c>
      <c r="B13" s="3">
        <f>31.77</f>
        <v>31.77</v>
      </c>
      <c r="C13" s="3">
        <f>24.2</f>
        <v>24.2</v>
      </c>
      <c r="D13" s="3">
        <f>17.23</f>
        <v>17.23</v>
      </c>
      <c r="E13" s="3">
        <f>21.93</f>
        <v>21.93</v>
      </c>
      <c r="F13" s="3">
        <f>15.4</f>
        <v>15.4</v>
      </c>
      <c r="G13" s="3">
        <f>28.69</f>
        <v>28.69</v>
      </c>
      <c r="H13" s="2"/>
      <c r="I13" s="2"/>
      <c r="J13" s="2"/>
      <c r="K13" s="2"/>
      <c r="L13" s="2"/>
      <c r="M13" s="2"/>
      <c r="N13" s="3">
        <f t="shared" si="1"/>
        <v>139.22</v>
      </c>
    </row>
    <row r="14" spans="1:15" x14ac:dyDescent="0.3">
      <c r="A14" s="1" t="s">
        <v>21</v>
      </c>
      <c r="B14" s="4">
        <f t="shared" ref="B14:M14" si="3">(((B10)+(B11))+(B12))+(B13)</f>
        <v>31.77</v>
      </c>
      <c r="C14" s="4">
        <f t="shared" si="3"/>
        <v>1374.2</v>
      </c>
      <c r="D14" s="4">
        <f t="shared" si="3"/>
        <v>517.23</v>
      </c>
      <c r="E14" s="4">
        <f t="shared" si="3"/>
        <v>21.93</v>
      </c>
      <c r="F14" s="4">
        <f t="shared" si="3"/>
        <v>865.4</v>
      </c>
      <c r="G14" s="4">
        <f t="shared" si="3"/>
        <v>28.69</v>
      </c>
      <c r="H14" s="4">
        <f t="shared" si="3"/>
        <v>0</v>
      </c>
      <c r="I14" s="4">
        <f t="shared" si="3"/>
        <v>0</v>
      </c>
      <c r="J14" s="4">
        <f t="shared" si="3"/>
        <v>0</v>
      </c>
      <c r="K14" s="4">
        <f t="shared" si="3"/>
        <v>0</v>
      </c>
      <c r="L14" s="4">
        <f t="shared" si="3"/>
        <v>0</v>
      </c>
      <c r="M14" s="4">
        <f t="shared" si="3"/>
        <v>0</v>
      </c>
      <c r="N14" s="4">
        <f t="shared" si="1"/>
        <v>2839.2200000000003</v>
      </c>
    </row>
    <row r="15" spans="1:15" x14ac:dyDescent="0.3">
      <c r="A15" s="1" t="s">
        <v>22</v>
      </c>
      <c r="B15" s="4">
        <f t="shared" ref="B15:M15" si="4">(((B7)+(B8))+(B9))+(B14)</f>
        <v>119203.99</v>
      </c>
      <c r="C15" s="4">
        <f t="shared" si="4"/>
        <v>120546.42</v>
      </c>
      <c r="D15" s="4">
        <f t="shared" si="4"/>
        <v>119689.45</v>
      </c>
      <c r="E15" s="4">
        <f t="shared" si="4"/>
        <v>185362.56</v>
      </c>
      <c r="F15" s="4">
        <f t="shared" si="4"/>
        <v>120037.62</v>
      </c>
      <c r="G15" s="4">
        <f t="shared" si="4"/>
        <v>119200.91</v>
      </c>
      <c r="H15" s="4">
        <f t="shared" si="4"/>
        <v>119172.22</v>
      </c>
      <c r="I15" s="4">
        <f t="shared" si="4"/>
        <v>119172.22</v>
      </c>
      <c r="J15" s="4">
        <f t="shared" si="4"/>
        <v>119172.22</v>
      </c>
      <c r="K15" s="4">
        <f t="shared" si="4"/>
        <v>119172.22</v>
      </c>
      <c r="L15" s="4">
        <f t="shared" si="4"/>
        <v>119172.22</v>
      </c>
      <c r="M15" s="4">
        <f t="shared" si="4"/>
        <v>119172.22</v>
      </c>
      <c r="N15" s="4">
        <f t="shared" si="1"/>
        <v>1499074.2699999998</v>
      </c>
    </row>
    <row r="16" spans="1:15" x14ac:dyDescent="0.3">
      <c r="A16" s="1" t="s">
        <v>23</v>
      </c>
      <c r="B16" s="4">
        <f t="shared" ref="B16:M16" si="5">(B15)-(0)</f>
        <v>119203.99</v>
      </c>
      <c r="C16" s="4">
        <f t="shared" si="5"/>
        <v>120546.42</v>
      </c>
      <c r="D16" s="4">
        <f t="shared" si="5"/>
        <v>119689.45</v>
      </c>
      <c r="E16" s="4">
        <f t="shared" si="5"/>
        <v>185362.56</v>
      </c>
      <c r="F16" s="4">
        <f t="shared" si="5"/>
        <v>120037.62</v>
      </c>
      <c r="G16" s="4">
        <f t="shared" si="5"/>
        <v>119200.91</v>
      </c>
      <c r="H16" s="4">
        <f t="shared" si="5"/>
        <v>119172.22</v>
      </c>
      <c r="I16" s="4">
        <f t="shared" si="5"/>
        <v>119172.22</v>
      </c>
      <c r="J16" s="4">
        <f t="shared" si="5"/>
        <v>119172.22</v>
      </c>
      <c r="K16" s="4">
        <f t="shared" si="5"/>
        <v>119172.22</v>
      </c>
      <c r="L16" s="4">
        <f t="shared" si="5"/>
        <v>119172.22</v>
      </c>
      <c r="M16" s="4">
        <f t="shared" si="5"/>
        <v>119172.22</v>
      </c>
      <c r="N16" s="4">
        <f t="shared" si="1"/>
        <v>1499074.2699999998</v>
      </c>
    </row>
    <row r="17" spans="1:15" x14ac:dyDescent="0.3">
      <c r="A17" s="1" t="s">
        <v>24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5" x14ac:dyDescent="0.3">
      <c r="A18" s="1" t="s">
        <v>25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>
        <f t="shared" ref="N18:N49" si="6">(((((((((((B18)+(C18))+(D18))+(E18))+(F18))+(G18))+(H18))+(I18))+(J18))+(K18))+(L18))+(M18)</f>
        <v>0</v>
      </c>
    </row>
    <row r="19" spans="1:15" x14ac:dyDescent="0.3">
      <c r="A19" s="1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>
        <f t="shared" si="6"/>
        <v>0</v>
      </c>
    </row>
    <row r="20" spans="1:15" x14ac:dyDescent="0.3">
      <c r="A20" s="1" t="s">
        <v>27</v>
      </c>
      <c r="B20" s="3">
        <f>5752.66</f>
        <v>5752.66</v>
      </c>
      <c r="C20" s="3">
        <f>98839.1</f>
        <v>98839.1</v>
      </c>
      <c r="D20" s="3">
        <f>42619.08</f>
        <v>42619.08</v>
      </c>
      <c r="E20" s="3">
        <f>44361.54</f>
        <v>44361.54</v>
      </c>
      <c r="F20" s="3">
        <f>49826.45</f>
        <v>49826.45</v>
      </c>
      <c r="G20" s="3">
        <f>5942.45</f>
        <v>5942.45</v>
      </c>
      <c r="H20" s="3">
        <f>7705.85</f>
        <v>7705.85</v>
      </c>
      <c r="I20" s="3">
        <f>1250+'Example 1 _ Cash Flows'!AA51</f>
        <v>32507.35</v>
      </c>
      <c r="J20" s="2">
        <f>+'Example 1 _ Cash Flows'!AA83</f>
        <v>25257.35</v>
      </c>
      <c r="K20" s="2">
        <f>+'Example 1 _ Cash Flows'!AA112</f>
        <v>25257.35</v>
      </c>
      <c r="L20" s="2">
        <f>+'Example 1 _ Cash Flows'!AA138</f>
        <v>375</v>
      </c>
      <c r="M20" s="2">
        <f>+'Example 1 _ Cash Flows'!AA166</f>
        <v>375</v>
      </c>
      <c r="N20" s="3">
        <f t="shared" si="6"/>
        <v>338819.18</v>
      </c>
      <c r="O20" s="7" t="s">
        <v>351</v>
      </c>
    </row>
    <row r="21" spans="1:15" x14ac:dyDescent="0.3">
      <c r="A21" s="1" t="s">
        <v>28</v>
      </c>
      <c r="B21" s="2"/>
      <c r="C21" s="2"/>
      <c r="D21" s="3">
        <f>9085</f>
        <v>9085</v>
      </c>
      <c r="E21" s="2"/>
      <c r="F21" s="2"/>
      <c r="G21" s="2"/>
      <c r="H21" s="126"/>
      <c r="I21" s="126"/>
      <c r="J21" s="126"/>
      <c r="K21" s="126"/>
      <c r="L21" s="126"/>
      <c r="M21" s="126"/>
      <c r="N21" s="3">
        <f t="shared" si="6"/>
        <v>9085</v>
      </c>
    </row>
    <row r="22" spans="1:15" x14ac:dyDescent="0.3">
      <c r="A22" s="1" t="s">
        <v>29</v>
      </c>
      <c r="B22" s="2"/>
      <c r="C22" s="2"/>
      <c r="D22" s="2"/>
      <c r="E22" s="2"/>
      <c r="F22" s="2"/>
      <c r="G22" s="3">
        <f>1500</f>
        <v>1500</v>
      </c>
      <c r="H22" s="126"/>
      <c r="I22" s="3">
        <f>1500</f>
        <v>1500</v>
      </c>
      <c r="J22" s="126"/>
      <c r="K22" s="126"/>
      <c r="L22" s="126"/>
      <c r="M22" s="126"/>
      <c r="N22" s="3">
        <f t="shared" si="6"/>
        <v>3000</v>
      </c>
    </row>
    <row r="23" spans="1:15" x14ac:dyDescent="0.3">
      <c r="A23" s="1" t="s">
        <v>30</v>
      </c>
      <c r="B23" s="2"/>
      <c r="C23" s="3">
        <f>5060</f>
        <v>5060</v>
      </c>
      <c r="D23" s="2"/>
      <c r="E23" s="2"/>
      <c r="F23" s="2"/>
      <c r="G23" s="2"/>
      <c r="H23" s="126"/>
      <c r="I23" s="126"/>
      <c r="J23" s="126"/>
      <c r="K23" s="126"/>
      <c r="L23" s="126"/>
      <c r="M23" s="126"/>
      <c r="N23" s="3">
        <f t="shared" si="6"/>
        <v>5060</v>
      </c>
    </row>
    <row r="24" spans="1:15" x14ac:dyDescent="0.3">
      <c r="A24" s="1" t="s">
        <v>31</v>
      </c>
      <c r="B24" s="3">
        <f>146.72</f>
        <v>146.72</v>
      </c>
      <c r="C24" s="2"/>
      <c r="D24" s="3">
        <f>9243</f>
        <v>9243</v>
      </c>
      <c r="E24" s="3">
        <f>7883.35</f>
        <v>7883.35</v>
      </c>
      <c r="F24" s="3">
        <f>216</f>
        <v>216</v>
      </c>
      <c r="G24" s="3">
        <f>809.77</f>
        <v>809.77</v>
      </c>
      <c r="H24" s="126"/>
      <c r="I24" s="126"/>
      <c r="J24" s="126"/>
      <c r="K24" s="126"/>
      <c r="L24" s="126"/>
      <c r="M24" s="126"/>
      <c r="N24" s="3">
        <f t="shared" si="6"/>
        <v>18298.84</v>
      </c>
    </row>
    <row r="25" spans="1:15" x14ac:dyDescent="0.3">
      <c r="A25" s="1" t="s">
        <v>32</v>
      </c>
      <c r="B25" s="2"/>
      <c r="C25" s="2"/>
      <c r="D25" s="2"/>
      <c r="E25" s="3">
        <f>2100</f>
        <v>2100</v>
      </c>
      <c r="F25" s="3">
        <f>1298</f>
        <v>1298</v>
      </c>
      <c r="G25" s="2"/>
      <c r="H25" s="126"/>
      <c r="I25" s="126"/>
      <c r="J25" s="126"/>
      <c r="K25" s="126"/>
      <c r="L25" s="126"/>
      <c r="M25" s="126"/>
      <c r="N25" s="3">
        <f t="shared" si="6"/>
        <v>3398</v>
      </c>
    </row>
    <row r="26" spans="1:15" x14ac:dyDescent="0.3">
      <c r="A26" s="1" t="s">
        <v>33</v>
      </c>
      <c r="B26" s="4">
        <f t="shared" ref="B26:M26" si="7">((((((B19)+(B20))+(B21))+(B22))+(B23))+(B24))+(B25)</f>
        <v>5899.38</v>
      </c>
      <c r="C26" s="4">
        <f t="shared" si="7"/>
        <v>103899.1</v>
      </c>
      <c r="D26" s="4">
        <f t="shared" si="7"/>
        <v>60947.08</v>
      </c>
      <c r="E26" s="4">
        <f t="shared" si="7"/>
        <v>54344.89</v>
      </c>
      <c r="F26" s="4">
        <f t="shared" si="7"/>
        <v>51340.45</v>
      </c>
      <c r="G26" s="4">
        <f t="shared" si="7"/>
        <v>8252.2199999999993</v>
      </c>
      <c r="H26" s="4">
        <f t="shared" si="7"/>
        <v>7705.85</v>
      </c>
      <c r="I26" s="4">
        <f t="shared" si="7"/>
        <v>34007.35</v>
      </c>
      <c r="J26" s="4">
        <f t="shared" si="7"/>
        <v>25257.35</v>
      </c>
      <c r="K26" s="4">
        <f t="shared" si="7"/>
        <v>25257.35</v>
      </c>
      <c r="L26" s="4">
        <f t="shared" si="7"/>
        <v>375</v>
      </c>
      <c r="M26" s="4">
        <f t="shared" si="7"/>
        <v>375</v>
      </c>
      <c r="N26" s="4">
        <f t="shared" si="6"/>
        <v>377661.0199999999</v>
      </c>
    </row>
    <row r="27" spans="1:15" x14ac:dyDescent="0.3">
      <c r="A27" s="1" t="s">
        <v>34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>
        <f t="shared" si="6"/>
        <v>0</v>
      </c>
    </row>
    <row r="28" spans="1:15" x14ac:dyDescent="0.3">
      <c r="A28" s="1" t="s">
        <v>35</v>
      </c>
      <c r="B28" s="3">
        <f>7500</f>
        <v>7500</v>
      </c>
      <c r="C28" s="3">
        <f>7500</f>
        <v>7500</v>
      </c>
      <c r="D28" s="3">
        <f>7500</f>
        <v>7500</v>
      </c>
      <c r="E28" s="3">
        <f>7500</f>
        <v>7500</v>
      </c>
      <c r="F28" s="3">
        <f>7500</f>
        <v>7500</v>
      </c>
      <c r="G28" s="3">
        <f>7500</f>
        <v>7500</v>
      </c>
      <c r="H28" s="3">
        <f>7500</f>
        <v>7500</v>
      </c>
      <c r="I28" s="2">
        <f>'Example 1 _ Cash Flows'!AB51</f>
        <v>7500</v>
      </c>
      <c r="J28" s="2">
        <f>'Example 1 _ Cash Flows'!AB83</f>
        <v>7500</v>
      </c>
      <c r="K28" s="2">
        <f>'Example 1 _ Cash Flows'!AB112</f>
        <v>7500</v>
      </c>
      <c r="L28" s="2">
        <f>'Example 1 _ Cash Flows'!AB138</f>
        <v>7500</v>
      </c>
      <c r="M28" s="2">
        <f>'Example 1 _ Cash Flows'!AB166</f>
        <v>7500</v>
      </c>
      <c r="N28" s="3">
        <f t="shared" si="6"/>
        <v>90000</v>
      </c>
    </row>
    <row r="29" spans="1:15" x14ac:dyDescent="0.3">
      <c r="A29" s="1" t="s">
        <v>36</v>
      </c>
      <c r="B29" s="3">
        <f>8333</f>
        <v>8333</v>
      </c>
      <c r="C29" s="3">
        <f>8333</f>
        <v>8333</v>
      </c>
      <c r="D29" s="3">
        <f>8333</f>
        <v>8333</v>
      </c>
      <c r="E29" s="3">
        <f>8333</f>
        <v>8333</v>
      </c>
      <c r="F29" s="3">
        <f>8333</f>
        <v>8333</v>
      </c>
      <c r="G29" s="3">
        <f>8479.22</f>
        <v>8479.2199999999993</v>
      </c>
      <c r="H29" s="3">
        <f>8333</f>
        <v>8333</v>
      </c>
      <c r="I29" s="2">
        <f>'Example 1 _ Cash Flows'!AE51</f>
        <v>8333</v>
      </c>
      <c r="J29" s="2">
        <f>'Example 1 _ Cash Flows'!AE83</f>
        <v>8333</v>
      </c>
      <c r="K29" s="2">
        <f>'Example 1 _ Cash Flows'!AE112</f>
        <v>8333</v>
      </c>
      <c r="L29" s="2">
        <f>'Example 1 _ Cash Flows'!AE138</f>
        <v>8333</v>
      </c>
      <c r="M29" s="2">
        <f>'Example 1 _ Cash Flows'!AE166</f>
        <v>8333</v>
      </c>
      <c r="N29" s="3">
        <f t="shared" si="6"/>
        <v>100142.22</v>
      </c>
      <c r="O29" s="7" t="s">
        <v>352</v>
      </c>
    </row>
    <row r="30" spans="1:15" x14ac:dyDescent="0.3">
      <c r="A30" s="1" t="s">
        <v>37</v>
      </c>
      <c r="B30" s="3">
        <f>451.66</f>
        <v>451.66</v>
      </c>
      <c r="C30" s="3">
        <f>558.8</f>
        <v>558.79999999999995</v>
      </c>
      <c r="D30" s="3">
        <f>508.52</f>
        <v>508.52</v>
      </c>
      <c r="E30" s="3">
        <f>572.5</f>
        <v>572.5</v>
      </c>
      <c r="F30" s="3">
        <f>572.5</f>
        <v>572.5</v>
      </c>
      <c r="G30" s="3">
        <f>503.66</f>
        <v>503.66</v>
      </c>
      <c r="H30" s="2">
        <v>575</v>
      </c>
      <c r="I30" s="2">
        <f>SUM('Example 1 _ Cash Flows'!AN51)</f>
        <v>625</v>
      </c>
      <c r="J30" s="2">
        <f>'Example 1 _ Cash Flows'!AN83</f>
        <v>625</v>
      </c>
      <c r="K30" s="2">
        <f>'Example 1 _ Cash Flows'!AN112</f>
        <v>625</v>
      </c>
      <c r="L30" s="2">
        <f>'Example 1 _ Cash Flows'!AN138</f>
        <v>625</v>
      </c>
      <c r="M30" s="2">
        <f>'Example 1 _ Cash Flows'!AN166</f>
        <v>625</v>
      </c>
      <c r="N30" s="3">
        <f t="shared" si="6"/>
        <v>6867.6399999999994</v>
      </c>
    </row>
    <row r="31" spans="1:15" x14ac:dyDescent="0.3">
      <c r="A31" s="1" t="s">
        <v>38</v>
      </c>
      <c r="B31" s="2"/>
      <c r="C31" s="3">
        <f>25.5</f>
        <v>25.5</v>
      </c>
      <c r="D31" s="3">
        <f>500</f>
        <v>500</v>
      </c>
      <c r="E31" s="2"/>
      <c r="F31" s="3">
        <f>746</f>
        <v>746</v>
      </c>
      <c r="G31" s="126"/>
      <c r="H31" s="126"/>
      <c r="I31" s="126"/>
      <c r="J31" s="126"/>
      <c r="K31" s="126"/>
      <c r="L31" s="126"/>
      <c r="M31" s="126"/>
      <c r="N31" s="3">
        <f t="shared" si="6"/>
        <v>1271.5</v>
      </c>
    </row>
    <row r="32" spans="1:15" x14ac:dyDescent="0.3">
      <c r="A32" s="1" t="s">
        <v>39</v>
      </c>
      <c r="B32" s="3">
        <f>995</f>
        <v>995</v>
      </c>
      <c r="C32" s="2"/>
      <c r="D32" s="2"/>
      <c r="E32" s="2"/>
      <c r="F32" s="2"/>
      <c r="G32" s="126"/>
      <c r="H32" s="126"/>
      <c r="I32" s="126"/>
      <c r="J32" s="126"/>
      <c r="K32" s="126"/>
      <c r="L32" s="126"/>
      <c r="M32" s="126"/>
      <c r="N32" s="3">
        <f t="shared" si="6"/>
        <v>995</v>
      </c>
    </row>
    <row r="33" spans="1:15" x14ac:dyDescent="0.3">
      <c r="A33" s="1" t="s">
        <v>40</v>
      </c>
      <c r="B33" s="3">
        <f>544.28</f>
        <v>544.28</v>
      </c>
      <c r="C33" s="2"/>
      <c r="D33" s="3">
        <f>1851.65</f>
        <v>1851.65</v>
      </c>
      <c r="E33" s="3">
        <f>1116.66</f>
        <v>1116.6600000000001</v>
      </c>
      <c r="F33" s="3">
        <f>42.84</f>
        <v>42.84</v>
      </c>
      <c r="G33" s="126"/>
      <c r="H33" s="126"/>
      <c r="I33" s="126"/>
      <c r="J33" s="126"/>
      <c r="K33" s="126"/>
      <c r="L33" s="126"/>
      <c r="M33" s="126"/>
      <c r="N33" s="3">
        <f t="shared" si="6"/>
        <v>3555.4300000000003</v>
      </c>
    </row>
    <row r="34" spans="1:15" x14ac:dyDescent="0.3">
      <c r="A34" s="1" t="s">
        <v>41</v>
      </c>
      <c r="B34" s="3">
        <f>213.97</f>
        <v>213.97</v>
      </c>
      <c r="C34" s="3">
        <f>0</f>
        <v>0</v>
      </c>
      <c r="D34" s="3">
        <f>399.06</f>
        <v>399.06</v>
      </c>
      <c r="E34" s="3">
        <f>294.16</f>
        <v>294.16000000000003</v>
      </c>
      <c r="F34" s="3">
        <f>110</f>
        <v>110</v>
      </c>
      <c r="G34" s="126"/>
      <c r="H34" s="126"/>
      <c r="I34" s="126"/>
      <c r="J34" s="126"/>
      <c r="K34" s="126"/>
      <c r="L34" s="126"/>
      <c r="M34" s="126"/>
      <c r="N34" s="3">
        <f t="shared" si="6"/>
        <v>1017.19</v>
      </c>
    </row>
    <row r="35" spans="1:15" x14ac:dyDescent="0.3">
      <c r="A35" s="1" t="s">
        <v>42</v>
      </c>
      <c r="B35" s="4">
        <f t="shared" ref="B35:M35" si="8">(((((((B27)+(B28))+(B29))+(B30))+(B31))+(B32))+(B33))+(B34)</f>
        <v>18037.91</v>
      </c>
      <c r="C35" s="4">
        <f t="shared" si="8"/>
        <v>16417.3</v>
      </c>
      <c r="D35" s="4">
        <f t="shared" si="8"/>
        <v>19092.230000000003</v>
      </c>
      <c r="E35" s="4">
        <f t="shared" si="8"/>
        <v>17816.32</v>
      </c>
      <c r="F35" s="4">
        <f t="shared" si="8"/>
        <v>17304.34</v>
      </c>
      <c r="G35" s="4">
        <f t="shared" si="8"/>
        <v>16482.88</v>
      </c>
      <c r="H35" s="4">
        <f t="shared" si="8"/>
        <v>16408</v>
      </c>
      <c r="I35" s="4">
        <f t="shared" si="8"/>
        <v>16458</v>
      </c>
      <c r="J35" s="4">
        <f t="shared" si="8"/>
        <v>16458</v>
      </c>
      <c r="K35" s="4">
        <f t="shared" si="8"/>
        <v>16458</v>
      </c>
      <c r="L35" s="4">
        <f t="shared" si="8"/>
        <v>16458</v>
      </c>
      <c r="M35" s="4">
        <f t="shared" si="8"/>
        <v>16458</v>
      </c>
      <c r="N35" s="4">
        <f t="shared" si="6"/>
        <v>203848.98</v>
      </c>
    </row>
    <row r="36" spans="1:15" x14ac:dyDescent="0.3">
      <c r="A36" s="1" t="s">
        <v>43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>
        <f t="shared" si="6"/>
        <v>0</v>
      </c>
    </row>
    <row r="37" spans="1:15" x14ac:dyDescent="0.3">
      <c r="A37" s="1" t="s">
        <v>44</v>
      </c>
      <c r="B37" s="3">
        <f>2500</f>
        <v>2500</v>
      </c>
      <c r="C37" s="3">
        <f>2500</f>
        <v>2500</v>
      </c>
      <c r="D37" s="3">
        <f>2500</f>
        <v>2500</v>
      </c>
      <c r="E37" s="3">
        <f>2500</f>
        <v>2500</v>
      </c>
      <c r="F37" s="3">
        <f>2500</f>
        <v>2500</v>
      </c>
      <c r="G37" s="3">
        <f>2500</f>
        <v>2500</v>
      </c>
      <c r="H37" s="2">
        <f>SUM('Example 1 _ Cash Flows'!Z17)</f>
        <v>2500</v>
      </c>
      <c r="I37" s="2">
        <f>'Example 1 _ Cash Flows'!Z51</f>
        <v>2500</v>
      </c>
      <c r="J37" s="2">
        <f>'Example 1 _ Cash Flows'!Z83</f>
        <v>2500</v>
      </c>
      <c r="K37" s="2">
        <f>'Example 1 _ Cash Flows'!Z112</f>
        <v>2500</v>
      </c>
      <c r="L37" s="2">
        <f>'Example 1 _ Cash Flows'!Z138</f>
        <v>2500</v>
      </c>
      <c r="M37" s="2">
        <f>'Example 1 _ Cash Flows'!Z166</f>
        <v>2500</v>
      </c>
      <c r="N37" s="3">
        <f t="shared" si="6"/>
        <v>30000</v>
      </c>
    </row>
    <row r="38" spans="1:15" x14ac:dyDescent="0.3">
      <c r="A38" s="1" t="s">
        <v>45</v>
      </c>
      <c r="B38" s="3">
        <f>1677.84</f>
        <v>1677.84</v>
      </c>
      <c r="C38" s="3">
        <f>1668.22</f>
        <v>1668.22</v>
      </c>
      <c r="D38" s="3">
        <f>1663.02</f>
        <v>1663.02</v>
      </c>
      <c r="E38" s="3">
        <f>1680.3</f>
        <v>1680.3</v>
      </c>
      <c r="F38" s="3">
        <f>1656</f>
        <v>1656</v>
      </c>
      <c r="G38" s="3">
        <f>1709</f>
        <v>1709</v>
      </c>
      <c r="H38" s="3">
        <f>1584</f>
        <v>1584</v>
      </c>
      <c r="I38" s="2">
        <f>'Example 1 _ Cash Flows'!AD51</f>
        <v>1674</v>
      </c>
      <c r="J38" s="2">
        <f>'Example 1 _ Cash Flows'!AD83</f>
        <v>1674</v>
      </c>
      <c r="K38" s="2">
        <f>'Example 1 _ Cash Flows'!AD112</f>
        <v>1674</v>
      </c>
      <c r="L38" s="2">
        <f>'Example 1 _ Cash Flows'!AD138</f>
        <v>1674</v>
      </c>
      <c r="M38" s="2">
        <f>'Example 1 _ Cash Flows'!AD166</f>
        <v>1674</v>
      </c>
      <c r="N38" s="3">
        <f t="shared" si="6"/>
        <v>20008.38</v>
      </c>
    </row>
    <row r="39" spans="1:15" x14ac:dyDescent="0.3">
      <c r="A39" s="1" t="s">
        <v>46</v>
      </c>
      <c r="B39" s="3">
        <f t="shared" ref="B39:G39" si="9">88.95</f>
        <v>88.95</v>
      </c>
      <c r="C39" s="3">
        <f t="shared" si="9"/>
        <v>88.95</v>
      </c>
      <c r="D39" s="3">
        <f t="shared" si="9"/>
        <v>88.95</v>
      </c>
      <c r="E39" s="3">
        <f t="shared" si="9"/>
        <v>88.95</v>
      </c>
      <c r="F39" s="3">
        <f t="shared" si="9"/>
        <v>88.95</v>
      </c>
      <c r="G39" s="3">
        <f t="shared" si="9"/>
        <v>88.95</v>
      </c>
      <c r="H39" s="2">
        <f>'Example 1 _ Cash Flows'!AQ17</f>
        <v>0</v>
      </c>
      <c r="I39" s="2">
        <f>'Example 1 _ Cash Flows'!AQ51</f>
        <v>111.1875</v>
      </c>
      <c r="J39" s="2">
        <f>'Example 1 _ Cash Flows'!AQ83</f>
        <v>111.1875</v>
      </c>
      <c r="K39" s="2">
        <f>'Example 1 _ Cash Flows'!AQ112</f>
        <v>111.1875</v>
      </c>
      <c r="L39" s="2">
        <f>'Example 1 _ Cash Flows'!AQ138</f>
        <v>111.1875</v>
      </c>
      <c r="M39" s="2">
        <f>'Example 1 _ Cash Flows'!AQ166</f>
        <v>111.1875</v>
      </c>
      <c r="N39" s="3">
        <f t="shared" si="6"/>
        <v>1089.6375</v>
      </c>
    </row>
    <row r="40" spans="1:15" x14ac:dyDescent="0.3">
      <c r="A40" s="1" t="s">
        <v>47</v>
      </c>
      <c r="B40" s="4">
        <f t="shared" ref="B40:M40" si="10">(((B36)+(B37))+(B38))+(B39)</f>
        <v>4266.79</v>
      </c>
      <c r="C40" s="4">
        <f t="shared" si="10"/>
        <v>4257.17</v>
      </c>
      <c r="D40" s="4">
        <f t="shared" si="10"/>
        <v>4251.97</v>
      </c>
      <c r="E40" s="4">
        <f t="shared" si="10"/>
        <v>4269.25</v>
      </c>
      <c r="F40" s="4">
        <f t="shared" si="10"/>
        <v>4244.95</v>
      </c>
      <c r="G40" s="4">
        <f t="shared" si="10"/>
        <v>4297.95</v>
      </c>
      <c r="H40" s="4">
        <f t="shared" si="10"/>
        <v>4084</v>
      </c>
      <c r="I40" s="4">
        <f t="shared" si="10"/>
        <v>4285.1875</v>
      </c>
      <c r="J40" s="4">
        <f t="shared" si="10"/>
        <v>4285.1875</v>
      </c>
      <c r="K40" s="4">
        <f t="shared" si="10"/>
        <v>4285.1875</v>
      </c>
      <c r="L40" s="4">
        <f t="shared" si="10"/>
        <v>4285.1875</v>
      </c>
      <c r="M40" s="4">
        <f t="shared" si="10"/>
        <v>4285.1875</v>
      </c>
      <c r="N40" s="4">
        <f t="shared" si="6"/>
        <v>51098.017500000002</v>
      </c>
    </row>
    <row r="41" spans="1:15" x14ac:dyDescent="0.3">
      <c r="A41" s="1" t="s">
        <v>48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>
        <f t="shared" si="6"/>
        <v>0</v>
      </c>
    </row>
    <row r="42" spans="1:15" x14ac:dyDescent="0.3">
      <c r="A42" s="1" t="s">
        <v>49</v>
      </c>
      <c r="B42" s="3">
        <f>6549.33</f>
        <v>6549.33</v>
      </c>
      <c r="C42" s="3">
        <f>201.7</f>
        <v>201.7</v>
      </c>
      <c r="D42" s="3">
        <f>664.45</f>
        <v>664.45</v>
      </c>
      <c r="E42" s="3">
        <f>51</f>
        <v>51</v>
      </c>
      <c r="F42" s="2"/>
      <c r="G42" s="2"/>
      <c r="H42" s="126"/>
      <c r="I42" s="126"/>
      <c r="J42" s="126"/>
      <c r="K42" s="126"/>
      <c r="L42" s="126"/>
      <c r="M42" s="126"/>
      <c r="N42" s="3">
        <f t="shared" si="6"/>
        <v>7466.48</v>
      </c>
    </row>
    <row r="43" spans="1:15" x14ac:dyDescent="0.3">
      <c r="A43" s="1" t="s">
        <v>50</v>
      </c>
      <c r="B43" s="2"/>
      <c r="C43" s="3">
        <f>265</f>
        <v>265</v>
      </c>
      <c r="D43" s="3">
        <f>275.75</f>
        <v>275.75</v>
      </c>
      <c r="E43" s="2"/>
      <c r="F43" s="2"/>
      <c r="G43" s="2"/>
      <c r="H43" s="127">
        <f>3300</f>
        <v>3300</v>
      </c>
      <c r="I43" s="127">
        <f>3570</f>
        <v>3570</v>
      </c>
      <c r="J43" s="127">
        <f>3570</f>
        <v>3570</v>
      </c>
      <c r="K43" s="126"/>
      <c r="L43" s="126"/>
      <c r="M43" s="126"/>
      <c r="N43" s="3">
        <f t="shared" si="6"/>
        <v>10980.75</v>
      </c>
    </row>
    <row r="44" spans="1:15" x14ac:dyDescent="0.3">
      <c r="A44" s="1" t="s">
        <v>51</v>
      </c>
      <c r="B44" s="3">
        <f>1064.15</f>
        <v>1064.1500000000001</v>
      </c>
      <c r="C44" s="2"/>
      <c r="D44" s="2"/>
      <c r="E44" s="2"/>
      <c r="F44" s="2"/>
      <c r="G44" s="2"/>
      <c r="H44" s="126"/>
      <c r="I44" s="126"/>
      <c r="J44" s="226">
        <f>SUM('Example 1 _ Cash Flows'!AV83)</f>
        <v>4500</v>
      </c>
      <c r="K44" s="126"/>
      <c r="L44" s="126"/>
      <c r="M44" s="126"/>
      <c r="N44" s="3">
        <f t="shared" si="6"/>
        <v>5564.15</v>
      </c>
      <c r="O44" s="228" t="s">
        <v>396</v>
      </c>
    </row>
    <row r="45" spans="1:15" x14ac:dyDescent="0.3">
      <c r="A45" s="1" t="s">
        <v>52</v>
      </c>
      <c r="B45" s="3">
        <f>381.67</f>
        <v>381.67</v>
      </c>
      <c r="C45" s="3">
        <f>32.76</f>
        <v>32.76</v>
      </c>
      <c r="D45" s="3">
        <f>962.9</f>
        <v>962.9</v>
      </c>
      <c r="E45" s="2"/>
      <c r="F45" s="3">
        <f>149.38</f>
        <v>149.38</v>
      </c>
      <c r="G45" s="3">
        <f>2168.9</f>
        <v>2168.9</v>
      </c>
      <c r="H45" s="126"/>
      <c r="I45" s="126"/>
      <c r="J45" s="126"/>
      <c r="K45" s="126"/>
      <c r="L45" s="126"/>
      <c r="M45" s="126"/>
      <c r="N45" s="3">
        <f t="shared" si="6"/>
        <v>3695.61</v>
      </c>
    </row>
    <row r="46" spans="1:15" x14ac:dyDescent="0.3">
      <c r="A46" s="1" t="s">
        <v>53</v>
      </c>
      <c r="B46" s="2"/>
      <c r="C46" s="2"/>
      <c r="D46" s="2"/>
      <c r="E46" s="3">
        <f>805</f>
        <v>805</v>
      </c>
      <c r="F46" s="2"/>
      <c r="G46" s="2"/>
      <c r="H46" s="126"/>
      <c r="I46" s="126"/>
      <c r="J46" s="126"/>
      <c r="K46" s="126"/>
      <c r="L46" s="126"/>
      <c r="M46" s="126"/>
      <c r="N46" s="3">
        <f t="shared" si="6"/>
        <v>805</v>
      </c>
    </row>
    <row r="47" spans="1:15" x14ac:dyDescent="0.3">
      <c r="A47" s="1" t="s">
        <v>54</v>
      </c>
      <c r="B47" s="4">
        <f t="shared" ref="B47:M47" si="11">(((((B41)+(B42))+(B43))+(B44))+(B45))+(B46)</f>
        <v>7995.15</v>
      </c>
      <c r="C47" s="4">
        <f t="shared" si="11"/>
        <v>499.46</v>
      </c>
      <c r="D47" s="4">
        <f t="shared" si="11"/>
        <v>1903.1</v>
      </c>
      <c r="E47" s="4">
        <f t="shared" si="11"/>
        <v>856</v>
      </c>
      <c r="F47" s="4">
        <f t="shared" si="11"/>
        <v>149.38</v>
      </c>
      <c r="G47" s="4">
        <f t="shared" si="11"/>
        <v>2168.9</v>
      </c>
      <c r="H47" s="4">
        <f t="shared" si="11"/>
        <v>3300</v>
      </c>
      <c r="I47" s="4">
        <f t="shared" si="11"/>
        <v>3570</v>
      </c>
      <c r="J47" s="4">
        <f t="shared" si="11"/>
        <v>8070</v>
      </c>
      <c r="K47" s="4">
        <f t="shared" si="11"/>
        <v>0</v>
      </c>
      <c r="L47" s="4">
        <f t="shared" si="11"/>
        <v>0</v>
      </c>
      <c r="M47" s="4">
        <f t="shared" si="11"/>
        <v>0</v>
      </c>
      <c r="N47" s="4">
        <f t="shared" si="6"/>
        <v>28511.989999999998</v>
      </c>
    </row>
    <row r="48" spans="1:15" x14ac:dyDescent="0.3">
      <c r="A48" s="1" t="s">
        <v>55</v>
      </c>
      <c r="B48" s="4">
        <f t="shared" ref="B48:M48" si="12">((((B18)+(B26))+(B35))+(B40))+(B47)</f>
        <v>36199.230000000003</v>
      </c>
      <c r="C48" s="4">
        <f t="shared" si="12"/>
        <v>125073.03000000001</v>
      </c>
      <c r="D48" s="4">
        <f t="shared" si="12"/>
        <v>86194.38</v>
      </c>
      <c r="E48" s="4">
        <f t="shared" si="12"/>
        <v>77286.459999999992</v>
      </c>
      <c r="F48" s="4">
        <f t="shared" si="12"/>
        <v>73039.12</v>
      </c>
      <c r="G48" s="4">
        <f t="shared" si="12"/>
        <v>31201.95</v>
      </c>
      <c r="H48" s="4">
        <f t="shared" si="12"/>
        <v>31497.85</v>
      </c>
      <c r="I48" s="4">
        <f t="shared" si="12"/>
        <v>58320.537499999999</v>
      </c>
      <c r="J48" s="4">
        <f t="shared" si="12"/>
        <v>54070.537499999999</v>
      </c>
      <c r="K48" s="4">
        <f t="shared" si="12"/>
        <v>46000.537499999999</v>
      </c>
      <c r="L48" s="4">
        <f t="shared" si="12"/>
        <v>21118.1875</v>
      </c>
      <c r="M48" s="4">
        <f t="shared" si="12"/>
        <v>21118.1875</v>
      </c>
      <c r="N48" s="4">
        <f t="shared" si="6"/>
        <v>661120.00749999995</v>
      </c>
    </row>
    <row r="49" spans="1:15" x14ac:dyDescent="0.3">
      <c r="A49" s="1" t="s">
        <v>56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>
        <f t="shared" si="6"/>
        <v>0</v>
      </c>
    </row>
    <row r="50" spans="1:15" x14ac:dyDescent="0.3">
      <c r="A50" s="1" t="s">
        <v>57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>
        <f t="shared" ref="N50:N81" si="13">(((((((((((B50)+(C50))+(D50))+(E50))+(F50))+(G50))+(H50))+(I50))+(J50))+(K50))+(L50))+(M50)</f>
        <v>0</v>
      </c>
    </row>
    <row r="51" spans="1:15" x14ac:dyDescent="0.3">
      <c r="A51" s="1" t="s">
        <v>58</v>
      </c>
      <c r="B51" s="3">
        <f>1978.92</f>
        <v>1978.92</v>
      </c>
      <c r="C51" s="2"/>
      <c r="D51" s="3">
        <f>1185</f>
        <v>1185</v>
      </c>
      <c r="E51" s="3">
        <f>5154.97</f>
        <v>5154.97</v>
      </c>
      <c r="F51" s="2"/>
      <c r="G51" s="3">
        <f>1125</f>
        <v>1125</v>
      </c>
      <c r="H51" s="2">
        <f>SUM('Example 1 _ Cash Flows'!AU17)</f>
        <v>1967.22</v>
      </c>
      <c r="I51" s="2">
        <f>'Example 1 _ Cash Flows'!AU51</f>
        <v>3439.25</v>
      </c>
      <c r="J51" s="2">
        <f>'Example 1 _ Cash Flows'!AU83</f>
        <v>2707.6</v>
      </c>
      <c r="K51" s="2">
        <f>'Example 1 _ Cash Flows'!AU112</f>
        <v>0</v>
      </c>
      <c r="L51" s="2">
        <f>'Example 1 _ Cash Flows'!AU138</f>
        <v>0</v>
      </c>
      <c r="M51" s="2">
        <f>'Example 1 _ Cash Flows'!AU166</f>
        <v>0</v>
      </c>
      <c r="N51" s="3">
        <f t="shared" si="13"/>
        <v>17557.96</v>
      </c>
    </row>
    <row r="52" spans="1:15" x14ac:dyDescent="0.3">
      <c r="A52" s="1" t="s">
        <v>59</v>
      </c>
      <c r="B52" s="3">
        <f>644.77</f>
        <v>644.77</v>
      </c>
      <c r="C52" s="3">
        <f>340.63</f>
        <v>340.63</v>
      </c>
      <c r="D52" s="3">
        <f>540.08</f>
        <v>540.08000000000004</v>
      </c>
      <c r="E52" s="3">
        <f>791.34</f>
        <v>791.34</v>
      </c>
      <c r="F52" s="3">
        <f>280</f>
        <v>280</v>
      </c>
      <c r="G52" s="3">
        <f>719.64</f>
        <v>719.64</v>
      </c>
      <c r="H52" s="126"/>
      <c r="I52" s="126"/>
      <c r="J52" s="126"/>
      <c r="K52" s="126"/>
      <c r="L52" s="126"/>
      <c r="M52" s="126"/>
      <c r="N52" s="3">
        <f t="shared" si="13"/>
        <v>3316.46</v>
      </c>
    </row>
    <row r="53" spans="1:15" x14ac:dyDescent="0.3">
      <c r="A53" s="1" t="s">
        <v>60</v>
      </c>
      <c r="B53" s="3">
        <f>2640</f>
        <v>2640</v>
      </c>
      <c r="C53" s="2"/>
      <c r="D53" s="2"/>
      <c r="E53" s="3">
        <f>150</f>
        <v>150</v>
      </c>
      <c r="F53" s="2"/>
      <c r="G53" s="3">
        <f>600</f>
        <v>600</v>
      </c>
      <c r="H53" s="2">
        <f>SUM('Example 1 _ Cash Flows'!AO17)</f>
        <v>330.78</v>
      </c>
      <c r="I53" s="2">
        <f>SUM('Example 1 _ Cash Flows'!AO51)</f>
        <v>0</v>
      </c>
      <c r="J53" s="2">
        <f>'Example 1 _ Cash Flows'!AO83</f>
        <v>0</v>
      </c>
      <c r="K53" s="2">
        <f>'Example 1 _ Cash Flows'!AO112</f>
        <v>0</v>
      </c>
      <c r="L53" s="2">
        <f>'Example 1 _ Cash Flows'!AO138</f>
        <v>0</v>
      </c>
      <c r="M53" s="2">
        <f>'Example 1 _ Cash Flows'!AO166</f>
        <v>0</v>
      </c>
      <c r="N53" s="3">
        <f t="shared" si="13"/>
        <v>3720.7799999999997</v>
      </c>
    </row>
    <row r="54" spans="1:15" x14ac:dyDescent="0.3">
      <c r="A54" s="1" t="s">
        <v>61</v>
      </c>
      <c r="B54" s="2"/>
      <c r="C54" s="2"/>
      <c r="D54" s="2"/>
      <c r="E54" s="2"/>
      <c r="F54" s="2"/>
      <c r="G54" s="3">
        <f>90.67</f>
        <v>90.67</v>
      </c>
      <c r="H54" s="3">
        <f>1833.35</f>
        <v>1833.35</v>
      </c>
      <c r="I54" s="3">
        <f>1833.35</f>
        <v>1833.35</v>
      </c>
      <c r="J54" s="3">
        <f>1833.35</f>
        <v>1833.35</v>
      </c>
      <c r="K54" s="3">
        <f>1833.35</f>
        <v>1833.35</v>
      </c>
      <c r="L54" s="3">
        <f>1833.35</f>
        <v>1833.35</v>
      </c>
      <c r="M54" s="3">
        <f>1833.25</f>
        <v>1833.25</v>
      </c>
      <c r="N54" s="3">
        <f t="shared" si="13"/>
        <v>11090.67</v>
      </c>
    </row>
    <row r="55" spans="1:15" x14ac:dyDescent="0.3">
      <c r="A55" s="1" t="s">
        <v>62</v>
      </c>
      <c r="B55" s="4">
        <f t="shared" ref="B55:M55" si="14">((((B50)+(B51))+(B52))+(B53))+(B54)</f>
        <v>5263.6900000000005</v>
      </c>
      <c r="C55" s="4">
        <f t="shared" si="14"/>
        <v>340.63</v>
      </c>
      <c r="D55" s="4">
        <f t="shared" si="14"/>
        <v>1725.08</v>
      </c>
      <c r="E55" s="4">
        <f t="shared" si="14"/>
        <v>6096.31</v>
      </c>
      <c r="F55" s="4">
        <f t="shared" si="14"/>
        <v>280</v>
      </c>
      <c r="G55" s="4">
        <f t="shared" si="14"/>
        <v>2535.31</v>
      </c>
      <c r="H55" s="4">
        <f t="shared" si="14"/>
        <v>4131.3500000000004</v>
      </c>
      <c r="I55" s="4">
        <f t="shared" si="14"/>
        <v>5272.6</v>
      </c>
      <c r="J55" s="4">
        <f t="shared" si="14"/>
        <v>4540.95</v>
      </c>
      <c r="K55" s="4">
        <f t="shared" si="14"/>
        <v>1833.35</v>
      </c>
      <c r="L55" s="4">
        <f t="shared" si="14"/>
        <v>1833.35</v>
      </c>
      <c r="M55" s="4">
        <f t="shared" si="14"/>
        <v>1833.25</v>
      </c>
      <c r="N55" s="4">
        <f t="shared" si="13"/>
        <v>35685.870000000003</v>
      </c>
    </row>
    <row r="56" spans="1:15" x14ac:dyDescent="0.3">
      <c r="A56" s="1" t="s">
        <v>63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>
        <f t="shared" si="13"/>
        <v>0</v>
      </c>
    </row>
    <row r="57" spans="1:15" x14ac:dyDescent="0.3">
      <c r="A57" s="1" t="s">
        <v>64</v>
      </c>
      <c r="B57" s="2"/>
      <c r="C57" s="3">
        <f>4227.52</f>
        <v>4227.5200000000004</v>
      </c>
      <c r="D57" s="3">
        <f>10350.25</f>
        <v>10350.25</v>
      </c>
      <c r="E57" s="3">
        <f>1753.2</f>
        <v>1753.2</v>
      </c>
      <c r="F57" s="3">
        <f>705.41</f>
        <v>705.41</v>
      </c>
      <c r="G57" s="3">
        <f>6814.65</f>
        <v>6814.65</v>
      </c>
      <c r="H57" s="127">
        <f>2900</f>
        <v>2900</v>
      </c>
      <c r="I57" s="126"/>
      <c r="J57" s="126"/>
      <c r="K57" s="126"/>
      <c r="L57" s="126"/>
      <c r="M57" s="126"/>
      <c r="N57" s="3">
        <f t="shared" si="13"/>
        <v>26751.03</v>
      </c>
    </row>
    <row r="58" spans="1:15" x14ac:dyDescent="0.3">
      <c r="A58" s="1" t="s">
        <v>65</v>
      </c>
      <c r="B58" s="3">
        <f>2080</f>
        <v>2080</v>
      </c>
      <c r="C58" s="3">
        <f>2080</f>
        <v>2080</v>
      </c>
      <c r="D58" s="3">
        <f>1580</f>
        <v>1580</v>
      </c>
      <c r="E58" s="3">
        <f>1080</f>
        <v>1080</v>
      </c>
      <c r="F58" s="3">
        <f>4660</f>
        <v>4660</v>
      </c>
      <c r="G58" s="3">
        <f>1080</f>
        <v>1080</v>
      </c>
      <c r="H58" s="127">
        <f>1080+'Example 1 _ Cash Flows'!X17</f>
        <v>1080</v>
      </c>
      <c r="I58" s="126">
        <f>SUM('Example 1 _ Cash Flows'!X51)</f>
        <v>1080</v>
      </c>
      <c r="J58" s="127">
        <v>1080</v>
      </c>
      <c r="K58" s="126">
        <f>'Example 1 _ Cash Flows'!X112</f>
        <v>1080</v>
      </c>
      <c r="L58" s="126">
        <f>'Example 1 _ Cash Flows'!X138</f>
        <v>1080</v>
      </c>
      <c r="M58" s="126">
        <f>'Example 1 _ Cash Flows'!X166</f>
        <v>1080</v>
      </c>
      <c r="N58" s="127">
        <f t="shared" si="13"/>
        <v>19040</v>
      </c>
      <c r="O58" s="228" t="s">
        <v>353</v>
      </c>
    </row>
    <row r="59" spans="1:15" x14ac:dyDescent="0.3">
      <c r="A59" s="1" t="s">
        <v>66</v>
      </c>
      <c r="B59" s="3">
        <f>2700</f>
        <v>2700</v>
      </c>
      <c r="C59" s="3">
        <f>3402.7</f>
        <v>3402.7</v>
      </c>
      <c r="D59" s="3">
        <f>288.35</f>
        <v>288.35000000000002</v>
      </c>
      <c r="E59" s="3">
        <f>200</f>
        <v>200</v>
      </c>
      <c r="F59" s="3">
        <f>200</f>
        <v>200</v>
      </c>
      <c r="G59" s="3">
        <f>200</f>
        <v>200</v>
      </c>
      <c r="H59" s="3">
        <f>200</f>
        <v>200</v>
      </c>
      <c r="I59" s="2">
        <f>SUM('Example 1 _ Cash Flows'!AM51)</f>
        <v>200</v>
      </c>
      <c r="J59" s="2">
        <f>SUM('Example 1 _ Cash Flows'!AM83)</f>
        <v>200</v>
      </c>
      <c r="K59" s="2">
        <f>SUM('Example 1 _ Cash Flows'!AM112)</f>
        <v>200</v>
      </c>
      <c r="L59" s="2">
        <f>SUM('Example 1 _ Cash Flows'!AM138)</f>
        <v>200</v>
      </c>
      <c r="M59" s="2">
        <f>SUM('Example 1 _ Cash Flows'!AM166)</f>
        <v>200</v>
      </c>
      <c r="N59" s="3">
        <f t="shared" si="13"/>
        <v>8191.05</v>
      </c>
    </row>
    <row r="60" spans="1:15" x14ac:dyDescent="0.3">
      <c r="A60" s="1" t="s">
        <v>67</v>
      </c>
      <c r="B60" s="4">
        <f t="shared" ref="B60:M60" si="15">(((B56)+(B57))+(B58))+(B59)</f>
        <v>4780</v>
      </c>
      <c r="C60" s="4">
        <f t="shared" si="15"/>
        <v>9710.2200000000012</v>
      </c>
      <c r="D60" s="4">
        <f t="shared" si="15"/>
        <v>12218.6</v>
      </c>
      <c r="E60" s="4">
        <f t="shared" si="15"/>
        <v>3033.2</v>
      </c>
      <c r="F60" s="4">
        <f t="shared" si="15"/>
        <v>5565.41</v>
      </c>
      <c r="G60" s="4">
        <f t="shared" si="15"/>
        <v>8094.65</v>
      </c>
      <c r="H60" s="4">
        <f t="shared" si="15"/>
        <v>4180</v>
      </c>
      <c r="I60" s="4">
        <f t="shared" si="15"/>
        <v>1280</v>
      </c>
      <c r="J60" s="4">
        <f t="shared" si="15"/>
        <v>1280</v>
      </c>
      <c r="K60" s="4">
        <f t="shared" si="15"/>
        <v>1280</v>
      </c>
      <c r="L60" s="4">
        <f t="shared" si="15"/>
        <v>1280</v>
      </c>
      <c r="M60" s="4">
        <f t="shared" si="15"/>
        <v>1280</v>
      </c>
      <c r="N60" s="4">
        <f t="shared" si="13"/>
        <v>53982.080000000002</v>
      </c>
    </row>
    <row r="61" spans="1:15" x14ac:dyDescent="0.3">
      <c r="A61" s="1" t="s">
        <v>68</v>
      </c>
      <c r="B61" s="4">
        <f t="shared" ref="B61:M61" si="16">((B49)+(B55))+(B60)</f>
        <v>10043.69</v>
      </c>
      <c r="C61" s="4">
        <f t="shared" si="16"/>
        <v>10050.85</v>
      </c>
      <c r="D61" s="4">
        <f t="shared" si="16"/>
        <v>13943.68</v>
      </c>
      <c r="E61" s="4">
        <f t="shared" si="16"/>
        <v>9129.51</v>
      </c>
      <c r="F61" s="4">
        <f t="shared" si="16"/>
        <v>5845.41</v>
      </c>
      <c r="G61" s="4">
        <f t="shared" si="16"/>
        <v>10629.96</v>
      </c>
      <c r="H61" s="4">
        <f t="shared" si="16"/>
        <v>8311.35</v>
      </c>
      <c r="I61" s="4">
        <f t="shared" si="16"/>
        <v>6552.6</v>
      </c>
      <c r="J61" s="4">
        <f t="shared" si="16"/>
        <v>5820.95</v>
      </c>
      <c r="K61" s="4">
        <f t="shared" si="16"/>
        <v>3113.35</v>
      </c>
      <c r="L61" s="4">
        <f t="shared" si="16"/>
        <v>3113.35</v>
      </c>
      <c r="M61" s="4">
        <f t="shared" si="16"/>
        <v>3113.25</v>
      </c>
      <c r="N61" s="4">
        <f t="shared" si="13"/>
        <v>89667.950000000012</v>
      </c>
    </row>
    <row r="62" spans="1:15" x14ac:dyDescent="0.3">
      <c r="A62" s="1" t="s">
        <v>69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>
        <f t="shared" si="13"/>
        <v>0</v>
      </c>
    </row>
    <row r="63" spans="1:15" x14ac:dyDescent="0.3">
      <c r="A63" s="1" t="s">
        <v>70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>
        <f t="shared" si="13"/>
        <v>0</v>
      </c>
    </row>
    <row r="64" spans="1:15" x14ac:dyDescent="0.3">
      <c r="A64" s="1" t="s">
        <v>71</v>
      </c>
      <c r="B64" s="3">
        <f>280</f>
        <v>280</v>
      </c>
      <c r="C64" s="3">
        <f>458.5</f>
        <v>458.5</v>
      </c>
      <c r="D64" s="3">
        <f>385</f>
        <v>385</v>
      </c>
      <c r="E64" s="3">
        <f>673.75</f>
        <v>673.75</v>
      </c>
      <c r="F64" s="3">
        <f>367.5</f>
        <v>367.5</v>
      </c>
      <c r="G64" s="2"/>
      <c r="H64" s="2">
        <f>SUM('Example 1 _ Cash Flows'!AW17)</f>
        <v>750</v>
      </c>
      <c r="I64" s="2">
        <f>SUM('Example 1 _ Cash Flows'!AW51)</f>
        <v>750</v>
      </c>
      <c r="J64" s="2">
        <f>SUM('Example 1 _ Cash Flows'!AW83)</f>
        <v>750</v>
      </c>
      <c r="K64" s="2">
        <f>SUM('Example 1 _ Cash Flows'!AW112)</f>
        <v>750</v>
      </c>
      <c r="L64" s="2">
        <f>SUM('Example 1 _ Cash Flows'!AW138)</f>
        <v>750</v>
      </c>
      <c r="M64" s="2">
        <f>SUM('Example 1 _ Cash Flows'!AW166)</f>
        <v>750</v>
      </c>
      <c r="N64" s="3">
        <f t="shared" si="13"/>
        <v>6664.75</v>
      </c>
      <c r="O64" s="7" t="s">
        <v>357</v>
      </c>
    </row>
    <row r="65" spans="1:14" x14ac:dyDescent="0.3">
      <c r="A65" s="1" t="s">
        <v>72</v>
      </c>
      <c r="B65" s="2"/>
      <c r="C65" s="2"/>
      <c r="D65" s="2"/>
      <c r="E65" s="2"/>
      <c r="F65" s="3">
        <f>263.97</f>
        <v>263.97000000000003</v>
      </c>
      <c r="G65" s="3">
        <f>124.02</f>
        <v>124.02</v>
      </c>
      <c r="H65" s="127">
        <f>2</f>
        <v>2</v>
      </c>
      <c r="I65" s="126"/>
      <c r="J65" s="126"/>
      <c r="K65" s="126"/>
      <c r="L65" s="126"/>
      <c r="M65" s="126"/>
      <c r="N65" s="3">
        <f>(((((((((((B65)+(C65))+(D65))+(E65))+(F65))+(G65))+(H65))+(I65))+(J65))+(K65))+(L65))+(M65)</f>
        <v>389.99</v>
      </c>
    </row>
    <row r="66" spans="1:14" x14ac:dyDescent="0.3">
      <c r="A66" s="1" t="s">
        <v>73</v>
      </c>
      <c r="B66" s="2"/>
      <c r="C66" s="2"/>
      <c r="D66" s="2"/>
      <c r="E66" s="3">
        <f>35.25</f>
        <v>35.25</v>
      </c>
      <c r="F66" s="2"/>
      <c r="G66" s="3">
        <f>122.74</f>
        <v>122.74</v>
      </c>
      <c r="H66" s="127">
        <f>4350.62</f>
        <v>4350.62</v>
      </c>
      <c r="I66" s="126"/>
      <c r="J66" s="126"/>
      <c r="K66" s="126"/>
      <c r="L66" s="126"/>
      <c r="M66" s="126"/>
      <c r="N66" s="3">
        <f>(((((((((((B66)+(C66))+(D66))+(E66))+(F66))+(G66))+(H66))+(I66))+(J66))+(K66))+(L66))+(M66)</f>
        <v>4508.6099999999997</v>
      </c>
    </row>
    <row r="67" spans="1:14" x14ac:dyDescent="0.3">
      <c r="A67" s="1" t="s">
        <v>74</v>
      </c>
      <c r="B67" s="3">
        <f>259.83</f>
        <v>259.83</v>
      </c>
      <c r="C67" s="3">
        <f>115.34</f>
        <v>115.34</v>
      </c>
      <c r="D67" s="3">
        <f>146.04</f>
        <v>146.04</v>
      </c>
      <c r="E67" s="3">
        <f>132.68</f>
        <v>132.68</v>
      </c>
      <c r="F67" s="3">
        <f>243.28</f>
        <v>243.28</v>
      </c>
      <c r="G67" s="3">
        <f>131.71</f>
        <v>131.71</v>
      </c>
      <c r="H67" s="3">
        <f>122.82</f>
        <v>122.82</v>
      </c>
      <c r="I67" s="2">
        <f>SUM('Example 1 _ Cash Flows'!AF51)</f>
        <v>150</v>
      </c>
      <c r="J67" s="2">
        <f>SUM('Example 1 _ Cash Flows'!AF83)</f>
        <v>150</v>
      </c>
      <c r="K67" s="2">
        <f>SUM('Example 1 _ Cash Flows'!AF112)</f>
        <v>150</v>
      </c>
      <c r="L67" s="2">
        <f>SUM('Example 1 _ Cash Flows'!AF138)</f>
        <v>150</v>
      </c>
      <c r="M67" s="2">
        <f>SUM('Example 1 _ Cash Flows'!AF166)</f>
        <v>150</v>
      </c>
      <c r="N67" s="3">
        <f t="shared" si="13"/>
        <v>1901.6999999999998</v>
      </c>
    </row>
    <row r="68" spans="1:14" x14ac:dyDescent="0.3">
      <c r="A68" s="1" t="s">
        <v>75</v>
      </c>
      <c r="B68" s="3">
        <f>912.46</f>
        <v>912.46</v>
      </c>
      <c r="C68" s="3">
        <f>979.84</f>
        <v>979.84</v>
      </c>
      <c r="D68" s="3">
        <f>658.85</f>
        <v>658.85</v>
      </c>
      <c r="E68" s="3">
        <f>982.95</f>
        <v>982.95</v>
      </c>
      <c r="F68" s="3">
        <f>814.83</f>
        <v>814.83</v>
      </c>
      <c r="G68" s="3">
        <f>1166.7</f>
        <v>1166.7</v>
      </c>
      <c r="H68" s="3">
        <f>SUM(I68)</f>
        <v>778.6875</v>
      </c>
      <c r="I68" s="2">
        <f>'Example 1 _ Cash Flows'!Y51</f>
        <v>778.6875</v>
      </c>
      <c r="J68" s="2">
        <f>'Example 1 _ Cash Flows'!Y83</f>
        <v>778.6875</v>
      </c>
      <c r="K68" s="2">
        <f>'Example 1 _ Cash Flows'!Y112</f>
        <v>778.6875</v>
      </c>
      <c r="L68" s="2">
        <f>'Example 1 _ Cash Flows'!Y138</f>
        <v>778.6875</v>
      </c>
      <c r="M68" s="2">
        <f>'Example 1 _ Cash Flows'!Y166</f>
        <v>778.6875</v>
      </c>
      <c r="N68" s="3">
        <f t="shared" si="13"/>
        <v>10187.755000000001</v>
      </c>
    </row>
    <row r="69" spans="1:14" x14ac:dyDescent="0.3">
      <c r="A69" s="1" t="s">
        <v>76</v>
      </c>
      <c r="B69" s="3">
        <f>279.99</f>
        <v>279.99</v>
      </c>
      <c r="C69" s="3">
        <f>4359.99</f>
        <v>4359.99</v>
      </c>
      <c r="D69" s="2"/>
      <c r="E69" s="3">
        <f>1290</f>
        <v>1290</v>
      </c>
      <c r="F69" s="2"/>
      <c r="G69" s="2"/>
      <c r="H69" s="126"/>
      <c r="I69" s="126"/>
      <c r="J69" s="126"/>
      <c r="K69" s="126"/>
      <c r="L69" s="126"/>
      <c r="M69" s="126"/>
      <c r="N69" s="3">
        <f t="shared" si="13"/>
        <v>5929.98</v>
      </c>
    </row>
    <row r="70" spans="1:14" x14ac:dyDescent="0.3">
      <c r="A70" s="1" t="s">
        <v>77</v>
      </c>
      <c r="B70" s="3">
        <f>66</f>
        <v>66</v>
      </c>
      <c r="C70" s="2"/>
      <c r="D70" s="2"/>
      <c r="E70" s="2"/>
      <c r="F70" s="2"/>
      <c r="G70" s="2"/>
      <c r="H70" s="127">
        <f>49</f>
        <v>49</v>
      </c>
      <c r="I70" s="126"/>
      <c r="J70" s="126"/>
      <c r="K70" s="126"/>
      <c r="L70" s="126"/>
      <c r="M70" s="126"/>
      <c r="N70" s="3">
        <f t="shared" si="13"/>
        <v>115</v>
      </c>
    </row>
    <row r="71" spans="1:14" x14ac:dyDescent="0.3">
      <c r="A71" s="1" t="s">
        <v>78</v>
      </c>
      <c r="B71" s="2"/>
      <c r="C71" s="3">
        <f>165.98</f>
        <v>165.98</v>
      </c>
      <c r="D71" s="3">
        <f>381.04</f>
        <v>381.04</v>
      </c>
      <c r="E71" s="3">
        <f>347.66</f>
        <v>347.66</v>
      </c>
      <c r="F71" s="3">
        <f>752.46</f>
        <v>752.46</v>
      </c>
      <c r="G71" s="3">
        <f>297.77</f>
        <v>297.77</v>
      </c>
      <c r="H71" s="126"/>
      <c r="I71" s="126"/>
      <c r="J71" s="126"/>
      <c r="K71" s="126"/>
      <c r="L71" s="126"/>
      <c r="M71" s="126"/>
      <c r="N71" s="3">
        <f t="shared" si="13"/>
        <v>1944.91</v>
      </c>
    </row>
    <row r="72" spans="1:14" x14ac:dyDescent="0.3">
      <c r="A72" s="1" t="s">
        <v>79</v>
      </c>
      <c r="B72" s="3">
        <f>1317.74</f>
        <v>1317.74</v>
      </c>
      <c r="C72" s="3">
        <f>568.94</f>
        <v>568.94000000000005</v>
      </c>
      <c r="D72" s="3">
        <f>131.25</f>
        <v>131.25</v>
      </c>
      <c r="E72" s="3">
        <f>53.93</f>
        <v>53.93</v>
      </c>
      <c r="F72" s="3">
        <f>878</f>
        <v>878</v>
      </c>
      <c r="G72" s="3">
        <f>1472.34</f>
        <v>1472.34</v>
      </c>
      <c r="H72" s="127">
        <f>0</f>
        <v>0</v>
      </c>
      <c r="I72" s="126"/>
      <c r="J72" s="126"/>
      <c r="K72" s="126"/>
      <c r="L72" s="126"/>
      <c r="M72" s="126"/>
      <c r="N72" s="3">
        <f t="shared" si="13"/>
        <v>4422.2</v>
      </c>
    </row>
    <row r="73" spans="1:14" x14ac:dyDescent="0.3">
      <c r="A73" s="1" t="s">
        <v>80</v>
      </c>
      <c r="B73" s="3">
        <f>51.8</f>
        <v>51.8</v>
      </c>
      <c r="C73" s="3">
        <f>524.53</f>
        <v>524.53</v>
      </c>
      <c r="D73" s="3">
        <f>111.95</f>
        <v>111.95</v>
      </c>
      <c r="E73" s="3">
        <f>213.08</f>
        <v>213.08</v>
      </c>
      <c r="F73" s="3">
        <f>304.39</f>
        <v>304.39</v>
      </c>
      <c r="G73" s="3">
        <f>100.45</f>
        <v>100.45</v>
      </c>
      <c r="H73" s="127">
        <f>55</f>
        <v>55</v>
      </c>
      <c r="I73" s="126"/>
      <c r="J73" s="126"/>
      <c r="K73" s="126"/>
      <c r="L73" s="126"/>
      <c r="M73" s="126"/>
      <c r="N73" s="3">
        <f t="shared" si="13"/>
        <v>1361.2</v>
      </c>
    </row>
    <row r="74" spans="1:14" x14ac:dyDescent="0.3">
      <c r="A74" s="1" t="s">
        <v>81</v>
      </c>
      <c r="B74" s="3">
        <f>817.24</f>
        <v>817.24</v>
      </c>
      <c r="C74" s="3">
        <f>1413.11</f>
        <v>1413.11</v>
      </c>
      <c r="D74" s="3">
        <f>1005.44</f>
        <v>1005.44</v>
      </c>
      <c r="E74" s="3">
        <f>2662.69</f>
        <v>2662.69</v>
      </c>
      <c r="F74" s="3">
        <f>3020.58</f>
        <v>3020.58</v>
      </c>
      <c r="G74" s="3">
        <f>395.97</f>
        <v>395.97</v>
      </c>
      <c r="H74" s="2"/>
      <c r="I74" s="2">
        <f>'Example 1 _ Cash Flows'!AX51</f>
        <v>1750</v>
      </c>
      <c r="J74" s="2">
        <f>'Example 1 _ Cash Flows'!AX83</f>
        <v>1750</v>
      </c>
      <c r="K74" s="2">
        <f>'Example 1 _ Cash Flows'!AX112</f>
        <v>3250</v>
      </c>
      <c r="L74" s="2">
        <f>'Example 1 _ Cash Flows'!AX138</f>
        <v>1750</v>
      </c>
      <c r="M74" s="2">
        <f>'Example 1 _ Cash Flows'!AX166</f>
        <v>1750</v>
      </c>
      <c r="N74" s="3">
        <f t="shared" si="13"/>
        <v>19565.03</v>
      </c>
    </row>
    <row r="75" spans="1:14" x14ac:dyDescent="0.3">
      <c r="A75" s="1" t="s">
        <v>82</v>
      </c>
      <c r="B75" s="4">
        <f t="shared" ref="B75:M75" si="17">(((((((((((B63)+(B64))+(B65))+(B66))+(B67))+(B68))+(B69))+(B70))+(B71))+(B72))+(B73))+(B74)</f>
        <v>3985.0600000000004</v>
      </c>
      <c r="C75" s="4">
        <f t="shared" si="17"/>
        <v>8586.23</v>
      </c>
      <c r="D75" s="4">
        <f t="shared" si="17"/>
        <v>2819.5699999999997</v>
      </c>
      <c r="E75" s="4">
        <f t="shared" si="17"/>
        <v>6391.99</v>
      </c>
      <c r="F75" s="4">
        <f t="shared" si="17"/>
        <v>6645.01</v>
      </c>
      <c r="G75" s="4">
        <f t="shared" si="17"/>
        <v>3811.7</v>
      </c>
      <c r="H75" s="4">
        <f t="shared" si="17"/>
        <v>6108.1274999999996</v>
      </c>
      <c r="I75" s="4">
        <f>(((((((((((I63)+(I64))+(I65))+(I66))+(I67))+(I68))+(I69))+(I70))+(I71))+(I72))+(I73))+(I74)</f>
        <v>3428.6875</v>
      </c>
      <c r="J75" s="4">
        <f t="shared" si="17"/>
        <v>3428.6875</v>
      </c>
      <c r="K75" s="4">
        <f t="shared" si="17"/>
        <v>4928.6875</v>
      </c>
      <c r="L75" s="4">
        <f t="shared" si="17"/>
        <v>3428.6875</v>
      </c>
      <c r="M75" s="4">
        <f t="shared" si="17"/>
        <v>3428.6875</v>
      </c>
      <c r="N75" s="4">
        <f t="shared" si="13"/>
        <v>56991.125</v>
      </c>
    </row>
    <row r="76" spans="1:14" x14ac:dyDescent="0.3">
      <c r="A76" s="1" t="s">
        <v>83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>
        <f t="shared" si="13"/>
        <v>0</v>
      </c>
    </row>
    <row r="77" spans="1:14" x14ac:dyDescent="0.3">
      <c r="A77" s="1" t="s">
        <v>84</v>
      </c>
      <c r="B77" s="3">
        <f>2530</f>
        <v>2530</v>
      </c>
      <c r="C77" s="3">
        <f>2350</f>
        <v>2350</v>
      </c>
      <c r="D77" s="3">
        <f>2350</f>
        <v>2350</v>
      </c>
      <c r="E77" s="3">
        <f>2350</f>
        <v>2350</v>
      </c>
      <c r="F77" s="3">
        <f>2350</f>
        <v>2350</v>
      </c>
      <c r="G77" s="3">
        <f>2350</f>
        <v>2350</v>
      </c>
      <c r="H77" s="3">
        <f>2350</f>
        <v>2350</v>
      </c>
      <c r="I77" s="124">
        <f>'Example 1 _ Cash Flows'!AC51</f>
        <v>2350</v>
      </c>
      <c r="J77" s="2">
        <f>'Example 1 _ Cash Flows'!AC83</f>
        <v>2350</v>
      </c>
      <c r="K77" s="2">
        <f>'Example 1 _ Cash Flows'!AC112</f>
        <v>2350</v>
      </c>
      <c r="L77" s="2">
        <f>'Example 1 _ Cash Flows'!AC138</f>
        <v>2350</v>
      </c>
      <c r="M77" s="2">
        <f>'Example 1 _ Cash Flows'!AC166</f>
        <v>2350</v>
      </c>
      <c r="N77" s="3">
        <f t="shared" si="13"/>
        <v>28380</v>
      </c>
    </row>
    <row r="78" spans="1:14" x14ac:dyDescent="0.3">
      <c r="A78" s="1" t="s">
        <v>85</v>
      </c>
      <c r="B78" s="3">
        <f>2126.31</f>
        <v>2126.31</v>
      </c>
      <c r="C78" s="2"/>
      <c r="D78" s="2"/>
      <c r="E78" s="2"/>
      <c r="F78" s="2"/>
      <c r="G78" s="2"/>
      <c r="H78" s="126"/>
      <c r="I78" s="126"/>
      <c r="J78" s="126"/>
      <c r="K78" s="126"/>
      <c r="L78" s="126"/>
      <c r="M78" s="126"/>
      <c r="N78" s="3">
        <f t="shared" si="13"/>
        <v>2126.31</v>
      </c>
    </row>
    <row r="79" spans="1:14" x14ac:dyDescent="0.3">
      <c r="A79" s="1" t="s">
        <v>86</v>
      </c>
      <c r="B79" s="3">
        <f>687.41</f>
        <v>687.41</v>
      </c>
      <c r="C79" s="3">
        <f>483.45</f>
        <v>483.45</v>
      </c>
      <c r="D79" s="3">
        <f>318.7</f>
        <v>318.7</v>
      </c>
      <c r="E79" s="3">
        <f>819.87</f>
        <v>819.87</v>
      </c>
      <c r="F79" s="3">
        <f>339.41</f>
        <v>339.41</v>
      </c>
      <c r="G79" s="3">
        <f>218.49</f>
        <v>218.49</v>
      </c>
      <c r="H79" s="3">
        <f>94.95+'Example 1 _ Cash Flows'!U17</f>
        <v>194.95</v>
      </c>
      <c r="I79" s="2">
        <f>'Example 1 _ Cash Flows'!U51</f>
        <v>294.95</v>
      </c>
      <c r="J79" s="2">
        <f>'Example 1 _ Cash Flows'!U83</f>
        <v>294.95</v>
      </c>
      <c r="K79" s="2">
        <f>'Example 1 _ Cash Flows'!U112</f>
        <v>294.95</v>
      </c>
      <c r="L79" s="2">
        <f>'Example 1 _ Cash Flows'!U138</f>
        <v>294.95</v>
      </c>
      <c r="M79" s="2">
        <f>'Example 1 _ Cash Flows'!U166</f>
        <v>294.95</v>
      </c>
      <c r="N79" s="3">
        <f t="shared" si="13"/>
        <v>4537.0299999999988</v>
      </c>
    </row>
    <row r="80" spans="1:14" x14ac:dyDescent="0.3">
      <c r="A80" s="1" t="s">
        <v>87</v>
      </c>
      <c r="B80" s="2"/>
      <c r="C80" s="3">
        <f>62.58</f>
        <v>62.58</v>
      </c>
      <c r="D80" s="2"/>
      <c r="E80" s="2"/>
      <c r="F80" s="2"/>
      <c r="G80" s="2"/>
      <c r="H80" s="126"/>
      <c r="I80" s="126"/>
      <c r="J80" s="126"/>
      <c r="K80" s="126"/>
      <c r="L80" s="126"/>
      <c r="M80" s="126"/>
      <c r="N80" s="3">
        <f t="shared" si="13"/>
        <v>62.58</v>
      </c>
    </row>
    <row r="81" spans="1:15" x14ac:dyDescent="0.3">
      <c r="A81" s="1" t="s">
        <v>88</v>
      </c>
      <c r="B81" s="3">
        <f>970.79</f>
        <v>970.79</v>
      </c>
      <c r="C81" s="3">
        <f>912.44</f>
        <v>912.44</v>
      </c>
      <c r="D81" s="3">
        <f>1010.57</f>
        <v>1010.57</v>
      </c>
      <c r="E81" s="3">
        <f>870.18</f>
        <v>870.18</v>
      </c>
      <c r="F81" s="3">
        <f>813.03</f>
        <v>813.03</v>
      </c>
      <c r="G81" s="3">
        <f>812.9</f>
        <v>812.9</v>
      </c>
      <c r="H81" s="3">
        <f>200+'Example 1 _ Cash Flows'!V17+'Example 1 _ Cash Flows'!W17</f>
        <v>1651.8200000000002</v>
      </c>
      <c r="I81" s="3">
        <f>200+'Example 1 _ Cash Flows'!V51</f>
        <v>908.65</v>
      </c>
      <c r="J81" s="3">
        <f>200+'Example 1 _ Cash Flows'!V83</f>
        <v>908.65</v>
      </c>
      <c r="K81" s="3">
        <f>200+'Example 1 _ Cash Flows'!V112</f>
        <v>908.65</v>
      </c>
      <c r="L81" s="3">
        <f>200+'Example 1 _ Cash Flows'!V138</f>
        <v>908.65</v>
      </c>
      <c r="M81" s="3">
        <f>200+'Example 1 _ Cash Flows'!V166</f>
        <v>908.65</v>
      </c>
      <c r="N81" s="3">
        <f t="shared" si="13"/>
        <v>11584.979999999998</v>
      </c>
    </row>
    <row r="82" spans="1:15" x14ac:dyDescent="0.3">
      <c r="A82" s="1" t="s">
        <v>89</v>
      </c>
      <c r="B82" s="3">
        <f>719.91</f>
        <v>719.91</v>
      </c>
      <c r="C82" s="3">
        <f>813.28</f>
        <v>813.28</v>
      </c>
      <c r="D82" s="3">
        <f>831.52</f>
        <v>831.52</v>
      </c>
      <c r="E82" s="3">
        <f>735.63</f>
        <v>735.63</v>
      </c>
      <c r="F82" s="3">
        <f>532.08</f>
        <v>532.08000000000004</v>
      </c>
      <c r="G82" s="3">
        <f>835.76</f>
        <v>835.76</v>
      </c>
      <c r="H82" s="3">
        <f>362.8+'Example 1 _ Cash Flows'!W17</f>
        <v>1355.97</v>
      </c>
      <c r="I82" s="3">
        <f>44.94+'Example 1 _ Cash Flows'!W51</f>
        <v>1105.8375000000001</v>
      </c>
      <c r="J82" s="2">
        <f>SUM('Example 1 _ Cash Flows'!W83)</f>
        <v>779.72749999999996</v>
      </c>
      <c r="K82" s="2">
        <f>SUM('Example 1 _ Cash Flows'!W112)</f>
        <v>779.72749999999996</v>
      </c>
      <c r="L82" s="2">
        <f>SUM('Example 1 _ Cash Flows'!W138)</f>
        <v>779.72749999999996</v>
      </c>
      <c r="M82" s="2">
        <f>SUM('Example 1 _ Cash Flows'!W166)</f>
        <v>779.72749999999996</v>
      </c>
      <c r="N82" s="3">
        <f t="shared" ref="N82:N99" si="18">(((((((((((B82)+(C82))+(D82))+(E82))+(F82))+(G82))+(H82))+(I82))+(J82))+(K82))+(L82))+(M82)</f>
        <v>10048.897500000003</v>
      </c>
    </row>
    <row r="83" spans="1:15" x14ac:dyDescent="0.3">
      <c r="A83" s="1" t="s">
        <v>90</v>
      </c>
      <c r="B83" s="3">
        <f t="shared" ref="B83:G83" si="19">281.32</f>
        <v>281.32</v>
      </c>
      <c r="C83" s="3">
        <f t="shared" si="19"/>
        <v>281.32</v>
      </c>
      <c r="D83" s="3">
        <f t="shared" si="19"/>
        <v>281.32</v>
      </c>
      <c r="E83" s="3">
        <f t="shared" si="19"/>
        <v>281.32</v>
      </c>
      <c r="F83" s="3">
        <f t="shared" si="19"/>
        <v>281.32</v>
      </c>
      <c r="G83" s="3">
        <f t="shared" si="19"/>
        <v>281.32</v>
      </c>
      <c r="H83" s="126"/>
      <c r="I83" s="126"/>
      <c r="J83" s="126"/>
      <c r="K83" s="126"/>
      <c r="L83" s="126"/>
      <c r="M83" s="126"/>
      <c r="N83" s="3">
        <f t="shared" si="18"/>
        <v>1687.9199999999998</v>
      </c>
    </row>
    <row r="84" spans="1:15" x14ac:dyDescent="0.3">
      <c r="A84" s="1" t="s">
        <v>91</v>
      </c>
      <c r="B84" s="4">
        <f t="shared" ref="B84:M84" si="20">(((((((B76)+(B77))+(B78))+(B79))+(B80))+(B81))+(B82))+(B83)</f>
        <v>7315.7399999999989</v>
      </c>
      <c r="C84" s="4">
        <f t="shared" si="20"/>
        <v>4903.07</v>
      </c>
      <c r="D84" s="4">
        <f t="shared" si="20"/>
        <v>4792.1099999999997</v>
      </c>
      <c r="E84" s="4">
        <f t="shared" si="20"/>
        <v>5056.9999999999991</v>
      </c>
      <c r="F84" s="4">
        <f t="shared" si="20"/>
        <v>4315.8399999999992</v>
      </c>
      <c r="G84" s="4">
        <f t="shared" si="20"/>
        <v>4498.4699999999993</v>
      </c>
      <c r="H84" s="4">
        <f t="shared" si="20"/>
        <v>5552.7400000000007</v>
      </c>
      <c r="I84" s="4">
        <f>(((((((I76)+(M77))+(I78))+(I79))+(I80))+(I81))+(I82))+(I83)</f>
        <v>4659.4375</v>
      </c>
      <c r="J84" s="4">
        <f t="shared" si="20"/>
        <v>4333.3274999999994</v>
      </c>
      <c r="K84" s="4">
        <f t="shared" si="20"/>
        <v>4333.3274999999994</v>
      </c>
      <c r="L84" s="4">
        <f t="shared" si="20"/>
        <v>4333.3274999999994</v>
      </c>
      <c r="M84" s="4">
        <f t="shared" si="20"/>
        <v>4333.3274999999994</v>
      </c>
      <c r="N84" s="4">
        <f t="shared" si="18"/>
        <v>58427.717499999992</v>
      </c>
    </row>
    <row r="85" spans="1:15" x14ac:dyDescent="0.3">
      <c r="A85" s="1" t="s">
        <v>92</v>
      </c>
      <c r="B85" s="4">
        <f t="shared" ref="B85:M85" si="21">((B62)+(B75))+(B84)</f>
        <v>11300.8</v>
      </c>
      <c r="C85" s="4">
        <f t="shared" si="21"/>
        <v>13489.3</v>
      </c>
      <c r="D85" s="4">
        <f t="shared" si="21"/>
        <v>7611.6799999999994</v>
      </c>
      <c r="E85" s="4">
        <f t="shared" si="21"/>
        <v>11448.989999999998</v>
      </c>
      <c r="F85" s="4">
        <f t="shared" si="21"/>
        <v>10960.849999999999</v>
      </c>
      <c r="G85" s="4">
        <f t="shared" si="21"/>
        <v>8310.1699999999983</v>
      </c>
      <c r="H85" s="4">
        <f t="shared" si="21"/>
        <v>11660.8675</v>
      </c>
      <c r="I85" s="4">
        <f t="shared" si="21"/>
        <v>8088.125</v>
      </c>
      <c r="J85" s="4">
        <f t="shared" si="21"/>
        <v>7762.0149999999994</v>
      </c>
      <c r="K85" s="4">
        <f t="shared" si="21"/>
        <v>9262.0149999999994</v>
      </c>
      <c r="L85" s="4">
        <f t="shared" si="21"/>
        <v>7762.0149999999994</v>
      </c>
      <c r="M85" s="4">
        <f t="shared" si="21"/>
        <v>7762.0149999999994</v>
      </c>
      <c r="N85" s="4">
        <f t="shared" si="18"/>
        <v>115418.8425</v>
      </c>
    </row>
    <row r="86" spans="1:15" x14ac:dyDescent="0.3">
      <c r="A86" s="1" t="s">
        <v>93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>
        <f t="shared" si="18"/>
        <v>0</v>
      </c>
    </row>
    <row r="87" spans="1:15" x14ac:dyDescent="0.3">
      <c r="A87" s="1" t="s">
        <v>94</v>
      </c>
      <c r="B87" s="3">
        <f>35925.44</f>
        <v>35925.440000000002</v>
      </c>
      <c r="C87" s="3">
        <f>34250.9</f>
        <v>34250.9</v>
      </c>
      <c r="D87" s="3">
        <f>35708.8</f>
        <v>35708.800000000003</v>
      </c>
      <c r="E87" s="3">
        <f>25010.27</f>
        <v>25010.27</v>
      </c>
      <c r="F87" s="3">
        <f>28301.02</f>
        <v>28301.02</v>
      </c>
      <c r="G87" s="3">
        <f>26814.25</f>
        <v>26814.25</v>
      </c>
      <c r="H87" s="3">
        <f>26989.52</f>
        <v>26989.52</v>
      </c>
      <c r="I87" s="2">
        <f>SUM('Example 1 _ Cash Flows'!AH51)</f>
        <v>27200</v>
      </c>
      <c r="J87" s="2">
        <f>SUM('Example 1 _ Cash Flows'!AH83)</f>
        <v>27200</v>
      </c>
      <c r="K87" s="2">
        <f>SUM('Example 1 _ Cash Flows'!AH83)</f>
        <v>27200</v>
      </c>
      <c r="L87" s="2">
        <f>SUM('Example 1 _ Cash Flows'!AH112)</f>
        <v>27200</v>
      </c>
      <c r="M87" s="2">
        <f>SUM('Example 1 _ Cash Flows'!AH166)</f>
        <v>27200</v>
      </c>
      <c r="N87" s="3">
        <f t="shared" si="18"/>
        <v>349000.19999999995</v>
      </c>
      <c r="O87" s="7" t="s">
        <v>368</v>
      </c>
    </row>
    <row r="88" spans="1:15" x14ac:dyDescent="0.3">
      <c r="A88" s="1" t="s">
        <v>95</v>
      </c>
      <c r="B88" s="3">
        <f>138</f>
        <v>138</v>
      </c>
      <c r="C88" s="3">
        <f>538.46</f>
        <v>538.46</v>
      </c>
      <c r="D88" s="3">
        <f>4081.2</f>
        <v>4081.2</v>
      </c>
      <c r="E88" s="3">
        <f>3500</f>
        <v>3500</v>
      </c>
      <c r="F88" s="3">
        <f>0</f>
        <v>0</v>
      </c>
      <c r="G88" s="3">
        <f>830.77</f>
        <v>830.77</v>
      </c>
      <c r="H88" s="2">
        <f>SUM(I88)</f>
        <v>2000</v>
      </c>
      <c r="I88" s="2">
        <f>SUM('Example 1 _ Cash Flows'!AI51)</f>
        <v>2000</v>
      </c>
      <c r="J88" s="2">
        <f>SUM('Example 1 _ Cash Flows'!AI83)</f>
        <v>2000</v>
      </c>
      <c r="K88" s="2">
        <f>SUM('Example 1 _ Cash Flows'!AI83)</f>
        <v>2000</v>
      </c>
      <c r="L88" s="2">
        <f>SUM('Example 1 _ Cash Flows'!AI112)</f>
        <v>2000</v>
      </c>
      <c r="M88" s="2">
        <f>SUM('Example 1 _ Cash Flows'!AI166)</f>
        <v>2000</v>
      </c>
      <c r="N88" s="3">
        <f t="shared" si="18"/>
        <v>21088.43</v>
      </c>
    </row>
    <row r="89" spans="1:15" x14ac:dyDescent="0.3">
      <c r="A89" s="1" t="s">
        <v>96</v>
      </c>
      <c r="B89" s="3">
        <f>2979.87</f>
        <v>2979.87</v>
      </c>
      <c r="C89" s="3">
        <f>3003.23</f>
        <v>3003.23</v>
      </c>
      <c r="D89" s="3">
        <f>3102.92</f>
        <v>3102.92</v>
      </c>
      <c r="E89" s="3">
        <f>2247.14</f>
        <v>2247.14</v>
      </c>
      <c r="F89" s="3">
        <f>2295.92</f>
        <v>2295.92</v>
      </c>
      <c r="G89" s="3">
        <f>2114.85</f>
        <v>2114.85</v>
      </c>
      <c r="H89" s="3">
        <f>3578.4</f>
        <v>3578.4</v>
      </c>
      <c r="I89" s="2">
        <f>SUM('Example 1 _ Cash Flows'!AJ51)</f>
        <v>4000</v>
      </c>
      <c r="J89" s="2">
        <f>SUM('Example 1 _ Cash Flows'!AJ83)</f>
        <v>4000</v>
      </c>
      <c r="K89" s="2">
        <f>SUM('Example 1 _ Cash Flows'!AJ83)</f>
        <v>4000</v>
      </c>
      <c r="L89" s="2">
        <f>SUM('Example 1 _ Cash Flows'!AJ112)</f>
        <v>4000</v>
      </c>
      <c r="M89" s="2">
        <f>SUM('Example 1 _ Cash Flows'!AJ166)</f>
        <v>4000</v>
      </c>
      <c r="N89" s="3">
        <f t="shared" si="18"/>
        <v>39322.33</v>
      </c>
    </row>
    <row r="90" spans="1:15" x14ac:dyDescent="0.3">
      <c r="A90" s="1" t="s">
        <v>97</v>
      </c>
      <c r="B90" s="3">
        <f>53</f>
        <v>53</v>
      </c>
      <c r="C90" s="3">
        <f>53</f>
        <v>53</v>
      </c>
      <c r="D90" s="3">
        <f>53</f>
        <v>53</v>
      </c>
      <c r="E90" s="3">
        <f>51</f>
        <v>51</v>
      </c>
      <c r="F90" s="3">
        <f>51</f>
        <v>51</v>
      </c>
      <c r="G90" s="3">
        <f>51</f>
        <v>51</v>
      </c>
      <c r="H90" s="2">
        <v>51</v>
      </c>
      <c r="I90" s="2">
        <f>'Example 1 _ Cash Flows'!AR51</f>
        <v>63.75</v>
      </c>
      <c r="J90" s="2">
        <f>'Example 1 _ Cash Flows'!AR83</f>
        <v>63.75</v>
      </c>
      <c r="K90" s="2">
        <f>'Example 1 _ Cash Flows'!AR112</f>
        <v>63.75</v>
      </c>
      <c r="L90" s="2">
        <f>'Example 1 _ Cash Flows'!AR138</f>
        <v>63.75</v>
      </c>
      <c r="M90" s="2">
        <f>'Example 1 _ Cash Flows'!AR166</f>
        <v>63.75</v>
      </c>
      <c r="N90" s="3">
        <f t="shared" si="18"/>
        <v>681.75</v>
      </c>
    </row>
    <row r="91" spans="1:15" x14ac:dyDescent="0.3">
      <c r="A91" s="1" t="s">
        <v>98</v>
      </c>
      <c r="B91" s="3">
        <f>2704</f>
        <v>2704</v>
      </c>
      <c r="C91" s="2"/>
      <c r="D91" s="2"/>
      <c r="E91" s="3">
        <f>-532</f>
        <v>-532</v>
      </c>
      <c r="F91" s="2"/>
      <c r="G91" s="2"/>
      <c r="H91" s="126"/>
      <c r="I91" s="126"/>
      <c r="J91" s="126"/>
      <c r="K91" s="126"/>
      <c r="L91" s="126"/>
      <c r="M91" s="126"/>
      <c r="N91" s="3">
        <f t="shared" si="18"/>
        <v>2172</v>
      </c>
    </row>
    <row r="92" spans="1:15" x14ac:dyDescent="0.3">
      <c r="A92" s="1" t="s">
        <v>99</v>
      </c>
      <c r="B92" s="3">
        <f>2700</f>
        <v>2700</v>
      </c>
      <c r="C92" s="3">
        <f>2700</f>
        <v>2700</v>
      </c>
      <c r="D92" s="3">
        <f>2950</f>
        <v>2950</v>
      </c>
      <c r="E92" s="3">
        <f>2450</f>
        <v>2450</v>
      </c>
      <c r="F92" s="3">
        <f>2700</f>
        <v>2700</v>
      </c>
      <c r="G92" s="3">
        <f>2700</f>
        <v>2700</v>
      </c>
      <c r="H92" s="3">
        <f>2700</f>
        <v>2700</v>
      </c>
      <c r="I92" s="2">
        <f>SUM('Example 1 _ Cash Flows'!AG51)</f>
        <v>2750</v>
      </c>
      <c r="J92" s="2">
        <f>SUM('Example 1 _ Cash Flows'!AG83)</f>
        <v>2750</v>
      </c>
      <c r="K92" s="2">
        <f>SUM('Example 1 _ Cash Flows'!AG83)</f>
        <v>2750</v>
      </c>
      <c r="L92" s="2">
        <f>SUM('Example 1 _ Cash Flows'!AG112)</f>
        <v>2750</v>
      </c>
      <c r="M92" s="2">
        <f>SUM('Example 1 _ Cash Flows'!AG166)</f>
        <v>2750</v>
      </c>
      <c r="N92" s="3">
        <f t="shared" si="18"/>
        <v>32650</v>
      </c>
    </row>
    <row r="93" spans="1:15" x14ac:dyDescent="0.3">
      <c r="A93" s="1" t="s">
        <v>100</v>
      </c>
      <c r="B93" s="2"/>
      <c r="C93" s="2"/>
      <c r="D93" s="2"/>
      <c r="E93" s="2"/>
      <c r="F93" s="3">
        <f>58.79</f>
        <v>58.79</v>
      </c>
      <c r="G93" s="2"/>
      <c r="H93" s="126"/>
      <c r="I93" s="126"/>
      <c r="J93" s="126"/>
      <c r="K93" s="126"/>
      <c r="L93" s="126"/>
      <c r="M93" s="126"/>
      <c r="N93" s="3">
        <f t="shared" si="18"/>
        <v>58.79</v>
      </c>
    </row>
    <row r="94" spans="1:15" x14ac:dyDescent="0.3">
      <c r="A94" s="1" t="s">
        <v>101</v>
      </c>
      <c r="B94" s="3">
        <f>200</f>
        <v>200</v>
      </c>
      <c r="C94" s="3">
        <f>200</f>
        <v>200</v>
      </c>
      <c r="D94" s="3">
        <f>200</f>
        <v>200</v>
      </c>
      <c r="E94" s="3">
        <f>200</f>
        <v>200</v>
      </c>
      <c r="F94" s="3">
        <f>200</f>
        <v>200</v>
      </c>
      <c r="G94" s="3">
        <f>462.5</f>
        <v>462.5</v>
      </c>
      <c r="H94" s="3">
        <f>200</f>
        <v>200</v>
      </c>
      <c r="I94" s="3">
        <f>200+'Example 1 _ Cash Flows'!AK51</f>
        <v>450</v>
      </c>
      <c r="J94" s="3">
        <f>200+'Example 1 _ Cash Flows'!AK83</f>
        <v>450</v>
      </c>
      <c r="K94" s="3">
        <f>200+'Example 1 _ Cash Flows'!AK112</f>
        <v>450</v>
      </c>
      <c r="L94" s="3">
        <f>200+'Example 1 _ Cash Flows'!AK138</f>
        <v>450</v>
      </c>
      <c r="M94" s="3">
        <f>200+'Example 1 _ Cash Flows'!AK166</f>
        <v>450</v>
      </c>
      <c r="N94" s="3">
        <f t="shared" si="18"/>
        <v>3912.5</v>
      </c>
    </row>
    <row r="95" spans="1:15" x14ac:dyDescent="0.3">
      <c r="A95" s="1" t="s">
        <v>102</v>
      </c>
      <c r="B95" s="3">
        <f>163.92</f>
        <v>163.92</v>
      </c>
      <c r="C95" s="2"/>
      <c r="D95" s="2"/>
      <c r="E95" s="2"/>
      <c r="F95" s="3">
        <f>166.24</f>
        <v>166.24</v>
      </c>
      <c r="G95" s="3">
        <f>50</f>
        <v>50</v>
      </c>
      <c r="H95" s="126"/>
      <c r="I95" s="126"/>
      <c r="J95" s="126"/>
      <c r="K95" s="126"/>
      <c r="L95" s="126"/>
      <c r="M95" s="126"/>
      <c r="N95" s="3">
        <f t="shared" si="18"/>
        <v>380.15999999999997</v>
      </c>
    </row>
    <row r="96" spans="1:15" x14ac:dyDescent="0.3">
      <c r="A96" s="1" t="s">
        <v>103</v>
      </c>
      <c r="B96" s="4">
        <f t="shared" ref="B96:M96" si="22">(((((((((B86)+(B87))+(B88))+(B89))+(B90))+(B91))+(B92))+(B93))+(B94))+(B95)</f>
        <v>44864.23</v>
      </c>
      <c r="C96" s="4">
        <f t="shared" si="22"/>
        <v>40745.590000000004</v>
      </c>
      <c r="D96" s="4">
        <f t="shared" si="22"/>
        <v>46095.92</v>
      </c>
      <c r="E96" s="4">
        <f t="shared" si="22"/>
        <v>32926.410000000003</v>
      </c>
      <c r="F96" s="4">
        <f t="shared" si="22"/>
        <v>33772.97</v>
      </c>
      <c r="G96" s="4">
        <f t="shared" si="22"/>
        <v>33023.369999999995</v>
      </c>
      <c r="H96" s="4">
        <f t="shared" si="22"/>
        <v>35518.92</v>
      </c>
      <c r="I96" s="4">
        <f t="shared" si="22"/>
        <v>36463.75</v>
      </c>
      <c r="J96" s="4">
        <f t="shared" si="22"/>
        <v>36463.75</v>
      </c>
      <c r="K96" s="4">
        <f t="shared" si="22"/>
        <v>36463.75</v>
      </c>
      <c r="L96" s="4">
        <f t="shared" si="22"/>
        <v>36463.75</v>
      </c>
      <c r="M96" s="4">
        <f t="shared" si="22"/>
        <v>36463.75</v>
      </c>
      <c r="N96" s="4">
        <f t="shared" si="18"/>
        <v>449266.16</v>
      </c>
    </row>
    <row r="97" spans="1:15" x14ac:dyDescent="0.3">
      <c r="A97" s="1" t="s">
        <v>104</v>
      </c>
      <c r="B97" s="4">
        <f t="shared" ref="B97:M97" si="23">(((B48)+(B61))+(B85))+(B96)</f>
        <v>102407.95000000001</v>
      </c>
      <c r="C97" s="4">
        <f t="shared" si="23"/>
        <v>189358.77</v>
      </c>
      <c r="D97" s="4">
        <f t="shared" si="23"/>
        <v>153845.65999999997</v>
      </c>
      <c r="E97" s="4">
        <f t="shared" si="23"/>
        <v>130791.37</v>
      </c>
      <c r="F97" s="4">
        <f t="shared" si="23"/>
        <v>123618.35</v>
      </c>
      <c r="G97" s="4">
        <f t="shared" si="23"/>
        <v>83165.45</v>
      </c>
      <c r="H97" s="4">
        <f t="shared" si="23"/>
        <v>86988.987499999988</v>
      </c>
      <c r="I97" s="4">
        <f t="shared" si="23"/>
        <v>109425.0125</v>
      </c>
      <c r="J97" s="4">
        <f t="shared" si="23"/>
        <v>104117.2525</v>
      </c>
      <c r="K97" s="4">
        <f t="shared" si="23"/>
        <v>94839.652499999997</v>
      </c>
      <c r="L97" s="4">
        <f t="shared" si="23"/>
        <v>68457.302499999991</v>
      </c>
      <c r="M97" s="4">
        <f t="shared" si="23"/>
        <v>68457.202499999999</v>
      </c>
      <c r="N97" s="4">
        <f t="shared" si="18"/>
        <v>1315472.9599999997</v>
      </c>
    </row>
    <row r="98" spans="1:15" x14ac:dyDescent="0.3">
      <c r="A98" s="1" t="s">
        <v>105</v>
      </c>
      <c r="B98" s="4">
        <f t="shared" ref="B98:M98" si="24">(B16)-(B97)</f>
        <v>16796.039999999994</v>
      </c>
      <c r="C98" s="4">
        <f t="shared" si="24"/>
        <v>-68812.349999999991</v>
      </c>
      <c r="D98" s="4">
        <f t="shared" si="24"/>
        <v>-34156.209999999977</v>
      </c>
      <c r="E98" s="4">
        <f t="shared" si="24"/>
        <v>54571.19</v>
      </c>
      <c r="F98" s="4">
        <f t="shared" si="24"/>
        <v>-3580.7300000000105</v>
      </c>
      <c r="G98" s="4">
        <f t="shared" si="24"/>
        <v>36035.460000000006</v>
      </c>
      <c r="H98" s="4">
        <f t="shared" si="24"/>
        <v>32183.232500000013</v>
      </c>
      <c r="I98" s="4">
        <f t="shared" si="24"/>
        <v>9747.2075000000041</v>
      </c>
      <c r="J98" s="4">
        <f t="shared" si="24"/>
        <v>15054.967499999999</v>
      </c>
      <c r="K98" s="4">
        <f t="shared" si="24"/>
        <v>24332.567500000005</v>
      </c>
      <c r="L98" s="4">
        <f t="shared" si="24"/>
        <v>50714.91750000001</v>
      </c>
      <c r="M98" s="4">
        <f t="shared" si="24"/>
        <v>50715.017500000002</v>
      </c>
      <c r="N98" s="4">
        <f t="shared" si="18"/>
        <v>183601.31000000006</v>
      </c>
    </row>
    <row r="99" spans="1:15" x14ac:dyDescent="0.3">
      <c r="A99" s="1" t="s">
        <v>106</v>
      </c>
      <c r="B99" s="5">
        <f t="shared" ref="B99:M99" si="25">(B98)+(0)</f>
        <v>16796.039999999994</v>
      </c>
      <c r="C99" s="5">
        <f t="shared" si="25"/>
        <v>-68812.349999999991</v>
      </c>
      <c r="D99" s="5">
        <f t="shared" si="25"/>
        <v>-34156.209999999977</v>
      </c>
      <c r="E99" s="5">
        <f t="shared" si="25"/>
        <v>54571.19</v>
      </c>
      <c r="F99" s="5">
        <f t="shared" si="25"/>
        <v>-3580.7300000000105</v>
      </c>
      <c r="G99" s="5">
        <f t="shared" si="25"/>
        <v>36035.460000000006</v>
      </c>
      <c r="H99" s="5">
        <f t="shared" si="25"/>
        <v>32183.232500000013</v>
      </c>
      <c r="I99" s="5">
        <f t="shared" si="25"/>
        <v>9747.2075000000041</v>
      </c>
      <c r="J99" s="5">
        <f t="shared" si="25"/>
        <v>15054.967499999999</v>
      </c>
      <c r="K99" s="5">
        <f t="shared" si="25"/>
        <v>24332.567500000005</v>
      </c>
      <c r="L99" s="5">
        <f t="shared" si="25"/>
        <v>50714.91750000001</v>
      </c>
      <c r="M99" s="5">
        <f t="shared" si="25"/>
        <v>50715.017500000002</v>
      </c>
      <c r="N99" s="5">
        <f t="shared" si="18"/>
        <v>183601.31000000006</v>
      </c>
    </row>
    <row r="100" spans="1:15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5" x14ac:dyDescent="0.3">
      <c r="A101" s="221"/>
      <c r="B101" s="222" t="s">
        <v>0</v>
      </c>
      <c r="C101" s="222" t="s">
        <v>1</v>
      </c>
      <c r="D101" s="222" t="s">
        <v>2</v>
      </c>
      <c r="E101" s="222" t="s">
        <v>3</v>
      </c>
      <c r="F101" s="222" t="s">
        <v>4</v>
      </c>
      <c r="G101" s="222" t="s">
        <v>5</v>
      </c>
      <c r="H101" s="222" t="s">
        <v>6</v>
      </c>
      <c r="I101" s="222" t="s">
        <v>7</v>
      </c>
      <c r="J101" s="222" t="s">
        <v>8</v>
      </c>
      <c r="K101" s="222" t="s">
        <v>9</v>
      </c>
      <c r="L101" s="222" t="s">
        <v>10</v>
      </c>
      <c r="M101" s="222" t="s">
        <v>11</v>
      </c>
      <c r="N101" s="222" t="s">
        <v>12</v>
      </c>
      <c r="O101" s="223" t="s">
        <v>135</v>
      </c>
    </row>
    <row r="103" spans="1:15" x14ac:dyDescent="0.3">
      <c r="A103" s="581" t="s">
        <v>107</v>
      </c>
      <c r="B103" s="582"/>
      <c r="C103" s="582"/>
      <c r="D103" s="582"/>
      <c r="E103" s="582"/>
      <c r="F103" s="582"/>
      <c r="G103" s="582"/>
      <c r="H103" s="582"/>
      <c r="I103" s="582"/>
      <c r="J103" s="582"/>
      <c r="K103" s="582"/>
      <c r="L103" s="582"/>
      <c r="M103" s="582"/>
      <c r="N103" s="582"/>
    </row>
  </sheetData>
  <mergeCells count="4">
    <mergeCell ref="A103:N103"/>
    <mergeCell ref="A3:O3"/>
    <mergeCell ref="A2:O2"/>
    <mergeCell ref="A1:O1"/>
  </mergeCells>
  <printOptions horizontalCentered="1" verticalCentered="1"/>
  <pageMargins left="0.25" right="0.25" top="0.25" bottom="0.25" header="0" footer="0"/>
  <pageSetup scale="70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8F6FC-2D35-467A-9E8E-A4B2E0F82E01}">
  <sheetPr codeName="Sheet9"/>
  <dimension ref="A1:O21"/>
  <sheetViews>
    <sheetView zoomScale="145" zoomScaleNormal="145" workbookViewId="0">
      <selection sqref="A1:K21"/>
    </sheetView>
  </sheetViews>
  <sheetFormatPr defaultRowHeight="14.4" x14ac:dyDescent="0.3"/>
  <cols>
    <col min="1" max="1" width="6" style="97" bestFit="1" customWidth="1"/>
    <col min="2" max="2" width="5.109375" style="7" bestFit="1" customWidth="1"/>
    <col min="3" max="3" width="7.88671875" style="31" bestFit="1" customWidth="1"/>
    <col min="4" max="4" width="13.33203125" style="7" bestFit="1" customWidth="1"/>
    <col min="5" max="5" width="10.109375" style="7" customWidth="1"/>
    <col min="6" max="15" width="9.109375" style="7"/>
  </cols>
  <sheetData>
    <row r="1" spans="1:15" x14ac:dyDescent="0.3">
      <c r="A1" s="612" t="s">
        <v>386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</row>
    <row r="2" spans="1:15" ht="15" thickBot="1" x14ac:dyDescent="0.35"/>
    <row r="3" spans="1:15" s="6" customFormat="1" ht="15" thickBot="1" x14ac:dyDescent="0.35">
      <c r="A3" s="370" t="s">
        <v>382</v>
      </c>
      <c r="B3" s="371" t="s">
        <v>208</v>
      </c>
      <c r="C3" s="372" t="s">
        <v>130</v>
      </c>
      <c r="D3" s="371" t="s">
        <v>209</v>
      </c>
      <c r="E3" s="371" t="s">
        <v>211</v>
      </c>
      <c r="F3" s="373">
        <v>7100</v>
      </c>
      <c r="G3" s="373">
        <v>5780</v>
      </c>
      <c r="H3" s="373">
        <v>7950</v>
      </c>
      <c r="I3" s="373">
        <v>8540</v>
      </c>
      <c r="J3" s="373">
        <v>5750</v>
      </c>
      <c r="K3" s="374">
        <v>5130</v>
      </c>
      <c r="L3" s="7"/>
      <c r="M3" s="7"/>
      <c r="N3" s="7"/>
      <c r="O3" s="7"/>
    </row>
    <row r="4" spans="1:15" x14ac:dyDescent="0.3">
      <c r="A4" s="376" t="s">
        <v>233</v>
      </c>
      <c r="B4" s="296">
        <v>7100</v>
      </c>
      <c r="C4" s="377">
        <v>96</v>
      </c>
      <c r="D4" s="296" t="s">
        <v>210</v>
      </c>
      <c r="E4" s="296" t="s">
        <v>212</v>
      </c>
      <c r="F4" s="378">
        <f>SUM(C4)</f>
        <v>96</v>
      </c>
      <c r="G4" s="379"/>
      <c r="H4" s="379"/>
      <c r="I4" s="379"/>
      <c r="J4" s="379"/>
      <c r="K4" s="380"/>
    </row>
    <row r="5" spans="1:15" x14ac:dyDescent="0.3">
      <c r="A5" s="376" t="s">
        <v>233</v>
      </c>
      <c r="B5" s="296">
        <v>7100</v>
      </c>
      <c r="C5" s="377">
        <v>120</v>
      </c>
      <c r="D5" s="296" t="s">
        <v>213</v>
      </c>
      <c r="E5" s="296" t="s">
        <v>212</v>
      </c>
      <c r="F5" s="378">
        <f t="shared" ref="F5:F18" si="0">SUM(C5)</f>
        <v>120</v>
      </c>
      <c r="G5" s="379"/>
      <c r="H5" s="379"/>
      <c r="I5" s="379"/>
      <c r="J5" s="379"/>
      <c r="K5" s="380"/>
    </row>
    <row r="6" spans="1:15" x14ac:dyDescent="0.3">
      <c r="A6" s="376" t="s">
        <v>233</v>
      </c>
      <c r="B6" s="296">
        <v>7950</v>
      </c>
      <c r="C6" s="377">
        <v>83.79</v>
      </c>
      <c r="D6" s="296" t="s">
        <v>214</v>
      </c>
      <c r="E6" s="296" t="s">
        <v>212</v>
      </c>
      <c r="F6" s="378"/>
      <c r="G6" s="379"/>
      <c r="H6" s="378">
        <f>SUM(C6)</f>
        <v>83.79</v>
      </c>
      <c r="I6" s="379"/>
      <c r="J6" s="379"/>
      <c r="K6" s="380"/>
    </row>
    <row r="7" spans="1:15" x14ac:dyDescent="0.3">
      <c r="A7" s="376" t="s">
        <v>233</v>
      </c>
      <c r="B7" s="296">
        <v>7100</v>
      </c>
      <c r="C7" s="377">
        <v>39.99</v>
      </c>
      <c r="D7" s="296" t="s">
        <v>215</v>
      </c>
      <c r="E7" s="296" t="s">
        <v>212</v>
      </c>
      <c r="F7" s="378">
        <f t="shared" si="0"/>
        <v>39.99</v>
      </c>
      <c r="G7" s="379"/>
      <c r="H7" s="379"/>
      <c r="I7" s="379"/>
      <c r="J7" s="379"/>
      <c r="K7" s="380"/>
    </row>
    <row r="8" spans="1:15" x14ac:dyDescent="0.3">
      <c r="A8" s="376" t="s">
        <v>233</v>
      </c>
      <c r="B8" s="296">
        <v>7100</v>
      </c>
      <c r="C8" s="377">
        <v>14.99</v>
      </c>
      <c r="D8" s="296" t="s">
        <v>216</v>
      </c>
      <c r="E8" s="296" t="s">
        <v>212</v>
      </c>
      <c r="F8" s="378">
        <f t="shared" si="0"/>
        <v>14.99</v>
      </c>
      <c r="G8" s="379"/>
      <c r="H8" s="379"/>
      <c r="I8" s="379"/>
      <c r="J8" s="379"/>
      <c r="K8" s="380"/>
    </row>
    <row r="9" spans="1:15" x14ac:dyDescent="0.3">
      <c r="A9" s="376" t="s">
        <v>233</v>
      </c>
      <c r="B9" s="296">
        <v>7100</v>
      </c>
      <c r="C9" s="377">
        <v>269</v>
      </c>
      <c r="D9" s="296" t="s">
        <v>217</v>
      </c>
      <c r="E9" s="296" t="s">
        <v>212</v>
      </c>
      <c r="F9" s="378">
        <f t="shared" si="0"/>
        <v>269</v>
      </c>
      <c r="G9" s="379"/>
      <c r="H9" s="379"/>
      <c r="I9" s="379"/>
      <c r="J9" s="379"/>
      <c r="K9" s="380"/>
    </row>
    <row r="10" spans="1:15" x14ac:dyDescent="0.3">
      <c r="A10" s="376" t="s">
        <v>233</v>
      </c>
      <c r="B10" s="296">
        <v>8540</v>
      </c>
      <c r="C10" s="377">
        <v>51</v>
      </c>
      <c r="D10" s="296" t="s">
        <v>218</v>
      </c>
      <c r="E10" s="296" t="s">
        <v>212</v>
      </c>
      <c r="F10" s="378"/>
      <c r="G10" s="379"/>
      <c r="H10" s="379"/>
      <c r="I10" s="378">
        <f>SUM(C10)</f>
        <v>51</v>
      </c>
      <c r="J10" s="379"/>
      <c r="K10" s="380"/>
    </row>
    <row r="11" spans="1:15" x14ac:dyDescent="0.3">
      <c r="A11" s="376" t="s">
        <v>233</v>
      </c>
      <c r="B11" s="296">
        <v>5780</v>
      </c>
      <c r="C11" s="377">
        <v>59</v>
      </c>
      <c r="D11" s="296" t="s">
        <v>219</v>
      </c>
      <c r="E11" s="296" t="s">
        <v>212</v>
      </c>
      <c r="F11" s="378"/>
      <c r="G11" s="378">
        <f>SUM(C11)</f>
        <v>59</v>
      </c>
      <c r="H11" s="379"/>
      <c r="I11" s="379"/>
      <c r="J11" s="379"/>
      <c r="K11" s="380"/>
    </row>
    <row r="12" spans="1:15" x14ac:dyDescent="0.3">
      <c r="A12" s="376" t="s">
        <v>245</v>
      </c>
      <c r="B12" s="296">
        <v>5750</v>
      </c>
      <c r="C12" s="377">
        <v>53</v>
      </c>
      <c r="D12" s="296" t="s">
        <v>220</v>
      </c>
      <c r="E12" s="296" t="s">
        <v>212</v>
      </c>
      <c r="F12" s="378"/>
      <c r="G12" s="379"/>
      <c r="H12" s="379"/>
      <c r="I12" s="379"/>
      <c r="J12" s="378">
        <f>SUM(C12)</f>
        <v>53</v>
      </c>
      <c r="K12" s="380"/>
    </row>
    <row r="13" spans="1:15" x14ac:dyDescent="0.3">
      <c r="A13" s="376" t="s">
        <v>245</v>
      </c>
      <c r="B13" s="296">
        <v>5780</v>
      </c>
      <c r="C13" s="377">
        <v>29.95</v>
      </c>
      <c r="D13" s="296" t="s">
        <v>221</v>
      </c>
      <c r="E13" s="296" t="s">
        <v>212</v>
      </c>
      <c r="F13" s="378"/>
      <c r="G13" s="378">
        <f>SUM(C13)</f>
        <v>29.95</v>
      </c>
      <c r="H13" s="379"/>
      <c r="I13" s="379"/>
      <c r="J13" s="379"/>
      <c r="K13" s="380"/>
    </row>
    <row r="14" spans="1:15" x14ac:dyDescent="0.3">
      <c r="A14" s="376" t="s">
        <v>245</v>
      </c>
      <c r="B14" s="296">
        <v>7100</v>
      </c>
      <c r="C14" s="377">
        <v>52.99</v>
      </c>
      <c r="D14" s="296" t="s">
        <v>216</v>
      </c>
      <c r="E14" s="296" t="s">
        <v>212</v>
      </c>
      <c r="F14" s="378">
        <f t="shared" si="0"/>
        <v>52.99</v>
      </c>
      <c r="G14" s="379"/>
      <c r="H14" s="379"/>
      <c r="I14" s="379"/>
      <c r="J14" s="379"/>
      <c r="K14" s="380"/>
    </row>
    <row r="15" spans="1:15" x14ac:dyDescent="0.3">
      <c r="A15" s="376" t="s">
        <v>245</v>
      </c>
      <c r="B15" s="296">
        <v>5750</v>
      </c>
      <c r="C15" s="377">
        <v>19</v>
      </c>
      <c r="D15" s="296" t="s">
        <v>222</v>
      </c>
      <c r="E15" s="296" t="s">
        <v>212</v>
      </c>
      <c r="F15" s="378"/>
      <c r="G15" s="379"/>
      <c r="H15" s="379"/>
      <c r="I15" s="379"/>
      <c r="J15" s="378">
        <f>SUM(C15)</f>
        <v>19</v>
      </c>
      <c r="K15" s="380"/>
    </row>
    <row r="16" spans="1:15" x14ac:dyDescent="0.3">
      <c r="A16" s="376" t="s">
        <v>245</v>
      </c>
      <c r="B16" s="296">
        <v>5130</v>
      </c>
      <c r="C16" s="377">
        <v>300</v>
      </c>
      <c r="D16" s="296" t="s">
        <v>223</v>
      </c>
      <c r="E16" s="296" t="s">
        <v>224</v>
      </c>
      <c r="F16" s="378"/>
      <c r="G16" s="379"/>
      <c r="H16" s="379"/>
      <c r="I16" s="379"/>
      <c r="J16" s="379"/>
      <c r="K16" s="381">
        <f>SUM(C16)</f>
        <v>300</v>
      </c>
    </row>
    <row r="17" spans="1:11" x14ac:dyDescent="0.3">
      <c r="A17" s="382" t="s">
        <v>383</v>
      </c>
      <c r="B17" s="296">
        <v>7100</v>
      </c>
      <c r="C17" s="377">
        <v>14.99</v>
      </c>
      <c r="D17" s="296" t="s">
        <v>216</v>
      </c>
      <c r="E17" s="296" t="s">
        <v>212</v>
      </c>
      <c r="F17" s="378">
        <f t="shared" si="0"/>
        <v>14.99</v>
      </c>
      <c r="G17" s="379"/>
      <c r="H17" s="379"/>
      <c r="I17" s="379"/>
      <c r="J17" s="379"/>
      <c r="K17" s="380"/>
    </row>
    <row r="18" spans="1:11" ht="15" thickBot="1" x14ac:dyDescent="0.35">
      <c r="A18" s="383" t="s">
        <v>384</v>
      </c>
      <c r="B18" s="375">
        <v>7100</v>
      </c>
      <c r="C18" s="384">
        <v>14.99</v>
      </c>
      <c r="D18" s="375" t="s">
        <v>216</v>
      </c>
      <c r="E18" s="375" t="s">
        <v>212</v>
      </c>
      <c r="F18" s="385">
        <f t="shared" si="0"/>
        <v>14.99</v>
      </c>
      <c r="G18" s="386"/>
      <c r="H18" s="386"/>
      <c r="I18" s="386"/>
      <c r="J18" s="386"/>
      <c r="K18" s="387"/>
    </row>
    <row r="19" spans="1:11" ht="15" thickBot="1" x14ac:dyDescent="0.35">
      <c r="A19" s="608" t="s">
        <v>295</v>
      </c>
      <c r="B19" s="609"/>
      <c r="C19" s="388">
        <f>SUM(C4:C18)</f>
        <v>1218.69</v>
      </c>
      <c r="D19" s="389" t="s">
        <v>385</v>
      </c>
      <c r="E19" s="390"/>
      <c r="F19" s="391">
        <f t="shared" ref="F19:K19" si="1">SUM(F4:F18)</f>
        <v>622.95000000000005</v>
      </c>
      <c r="G19" s="391">
        <f t="shared" si="1"/>
        <v>88.95</v>
      </c>
      <c r="H19" s="391">
        <f t="shared" si="1"/>
        <v>83.79</v>
      </c>
      <c r="I19" s="391">
        <f t="shared" si="1"/>
        <v>51</v>
      </c>
      <c r="J19" s="391">
        <f t="shared" si="1"/>
        <v>72</v>
      </c>
      <c r="K19" s="391">
        <f t="shared" si="1"/>
        <v>300</v>
      </c>
    </row>
    <row r="20" spans="1:11" ht="15.6" thickTop="1" thickBot="1" x14ac:dyDescent="0.35">
      <c r="A20" s="610"/>
      <c r="B20" s="611"/>
      <c r="C20" s="392">
        <f>SUM(C19*125%)</f>
        <v>1523.3625000000002</v>
      </c>
      <c r="D20" s="607" t="s">
        <v>225</v>
      </c>
      <c r="E20" s="607"/>
      <c r="F20" s="394">
        <f>SUM(F19*125%)</f>
        <v>778.6875</v>
      </c>
      <c r="G20" s="394">
        <f t="shared" ref="G20:K20" si="2">SUM(G19*125%)</f>
        <v>111.1875</v>
      </c>
      <c r="H20" s="394">
        <f t="shared" si="2"/>
        <v>104.73750000000001</v>
      </c>
      <c r="I20" s="394">
        <f t="shared" si="2"/>
        <v>63.75</v>
      </c>
      <c r="J20" s="394">
        <f t="shared" si="2"/>
        <v>90</v>
      </c>
      <c r="K20" s="394">
        <f t="shared" si="2"/>
        <v>375</v>
      </c>
    </row>
    <row r="21" spans="1:11" ht="15" thickBot="1" x14ac:dyDescent="0.35">
      <c r="A21" s="21"/>
      <c r="B21" s="21"/>
      <c r="C21" s="395"/>
      <c r="D21" s="21"/>
      <c r="E21" s="21"/>
      <c r="F21" s="396">
        <v>7100</v>
      </c>
      <c r="G21" s="396">
        <v>5780</v>
      </c>
      <c r="H21" s="396">
        <v>7950</v>
      </c>
      <c r="I21" s="396">
        <v>8540</v>
      </c>
      <c r="J21" s="396">
        <v>5750</v>
      </c>
      <c r="K21" s="396">
        <v>5130</v>
      </c>
    </row>
  </sheetData>
  <mergeCells count="3">
    <mergeCell ref="D20:E20"/>
    <mergeCell ref="A19:B20"/>
    <mergeCell ref="A1:K1"/>
  </mergeCells>
  <printOptions horizontalCentered="1" verticalCentered="1"/>
  <pageMargins left="0.25" right="0.25" top="0.25" bottom="0.25" header="0" footer="0"/>
  <pageSetup scale="13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A9E77-8C66-4B47-9D1F-1B282A9A5854}">
  <sheetPr codeName="Sheet10">
    <pageSetUpPr fitToPage="1"/>
  </sheetPr>
  <dimension ref="A1:I42"/>
  <sheetViews>
    <sheetView workbookViewId="0">
      <selection activeCell="J33" sqref="J33"/>
    </sheetView>
  </sheetViews>
  <sheetFormatPr defaultColWidth="12.5546875" defaultRowHeight="15.6" x14ac:dyDescent="0.3"/>
  <cols>
    <col min="1" max="1" width="12.5546875" style="53"/>
    <col min="2" max="2" width="13.6640625" style="53" bestFit="1" customWidth="1"/>
    <col min="3" max="4" width="12.5546875" style="53"/>
    <col min="5" max="5" width="32.5546875" style="53" bestFit="1" customWidth="1"/>
    <col min="6" max="6" width="15.5546875" style="88" bestFit="1" customWidth="1"/>
    <col min="7" max="7" width="12.6640625" style="92" bestFit="1" customWidth="1"/>
    <col min="8" max="8" width="6.44140625" style="91" bestFit="1" customWidth="1"/>
    <col min="9" max="9" width="0" style="53" hidden="1" customWidth="1"/>
    <col min="10" max="16384" width="12.5546875" style="53"/>
  </cols>
  <sheetData>
    <row r="1" spans="1:9" x14ac:dyDescent="0.3">
      <c r="A1" s="53" t="s">
        <v>387</v>
      </c>
    </row>
    <row r="2" spans="1:9" x14ac:dyDescent="0.3">
      <c r="A2" s="53" t="s">
        <v>260</v>
      </c>
    </row>
    <row r="4" spans="1:9" x14ac:dyDescent="0.3">
      <c r="A4" s="57" t="s">
        <v>134</v>
      </c>
      <c r="B4" s="57" t="s">
        <v>259</v>
      </c>
      <c r="C4" s="57" t="s">
        <v>258</v>
      </c>
      <c r="D4" s="57" t="s">
        <v>257</v>
      </c>
      <c r="E4" s="57" t="s">
        <v>256</v>
      </c>
      <c r="F4" s="89" t="s">
        <v>255</v>
      </c>
    </row>
    <row r="5" spans="1:9" x14ac:dyDescent="0.3">
      <c r="A5" s="56">
        <v>43858</v>
      </c>
      <c r="B5" s="55" t="s">
        <v>254</v>
      </c>
      <c r="C5" s="55" t="s">
        <v>252</v>
      </c>
      <c r="D5" s="55" t="s">
        <v>251</v>
      </c>
      <c r="E5" s="55" t="s">
        <v>250</v>
      </c>
      <c r="F5" s="89">
        <v>165.39</v>
      </c>
      <c r="G5" s="117" t="s">
        <v>291</v>
      </c>
      <c r="H5" s="91" t="s">
        <v>278</v>
      </c>
    </row>
    <row r="6" spans="1:9" x14ac:dyDescent="0.3">
      <c r="A6" s="56">
        <v>43858</v>
      </c>
      <c r="B6" s="55" t="s">
        <v>253</v>
      </c>
      <c r="C6" s="55" t="s">
        <v>252</v>
      </c>
      <c r="D6" s="55" t="s">
        <v>251</v>
      </c>
      <c r="E6" s="55" t="s">
        <v>250</v>
      </c>
      <c r="F6" s="89">
        <v>165.39</v>
      </c>
      <c r="G6" s="117" t="s">
        <v>291</v>
      </c>
    </row>
    <row r="7" spans="1:9" x14ac:dyDescent="0.3">
      <c r="A7" s="58"/>
      <c r="B7" s="57"/>
      <c r="C7" s="57"/>
      <c r="D7" s="57"/>
      <c r="E7" s="57"/>
      <c r="F7" s="90" t="s">
        <v>12</v>
      </c>
      <c r="G7" s="92">
        <f>SUM(F5:F6)</f>
        <v>330.78</v>
      </c>
      <c r="H7" s="91">
        <v>6590</v>
      </c>
      <c r="I7" s="53" t="s">
        <v>207</v>
      </c>
    </row>
    <row r="8" spans="1:9" x14ac:dyDescent="0.3">
      <c r="A8" s="58">
        <v>43862</v>
      </c>
      <c r="B8" s="57" t="s">
        <v>233</v>
      </c>
      <c r="C8" s="57" t="s">
        <v>232</v>
      </c>
      <c r="D8" s="57" t="s">
        <v>249</v>
      </c>
      <c r="E8" s="57" t="s">
        <v>248</v>
      </c>
      <c r="F8" s="89">
        <v>353</v>
      </c>
    </row>
    <row r="9" spans="1:9" x14ac:dyDescent="0.3">
      <c r="A9" s="58">
        <v>43862</v>
      </c>
      <c r="B9" s="57" t="s">
        <v>241</v>
      </c>
      <c r="C9" s="57" t="s">
        <v>232</v>
      </c>
      <c r="D9" s="57" t="s">
        <v>249</v>
      </c>
      <c r="E9" s="57" t="s">
        <v>248</v>
      </c>
      <c r="F9" s="89">
        <v>353</v>
      </c>
    </row>
    <row r="10" spans="1:9" x14ac:dyDescent="0.3">
      <c r="A10" s="58"/>
      <c r="B10" s="57"/>
      <c r="C10" s="57"/>
      <c r="D10" s="57"/>
      <c r="E10" s="57"/>
      <c r="F10" s="90" t="s">
        <v>12</v>
      </c>
      <c r="G10" s="92">
        <f>SUM(F8:F10)</f>
        <v>706</v>
      </c>
      <c r="H10" s="91">
        <v>6720</v>
      </c>
      <c r="I10" s="53" t="s">
        <v>207</v>
      </c>
    </row>
    <row r="11" spans="1:9" x14ac:dyDescent="0.3">
      <c r="A11" s="58">
        <v>43862</v>
      </c>
      <c r="B11" s="57" t="s">
        <v>233</v>
      </c>
      <c r="C11" s="57" t="s">
        <v>231</v>
      </c>
      <c r="D11" s="57" t="s">
        <v>249</v>
      </c>
      <c r="E11" s="57" t="s">
        <v>248</v>
      </c>
      <c r="F11" s="89">
        <v>220</v>
      </c>
    </row>
    <row r="12" spans="1:9" x14ac:dyDescent="0.3">
      <c r="A12" s="58">
        <v>43862</v>
      </c>
      <c r="B12" s="57" t="s">
        <v>241</v>
      </c>
      <c r="C12" s="57" t="s">
        <v>231</v>
      </c>
      <c r="D12" s="57" t="s">
        <v>249</v>
      </c>
      <c r="E12" s="57" t="s">
        <v>248</v>
      </c>
      <c r="F12" s="89">
        <v>220</v>
      </c>
    </row>
    <row r="13" spans="1:9" x14ac:dyDescent="0.3">
      <c r="A13" s="58"/>
      <c r="B13" s="57"/>
      <c r="C13" s="57"/>
      <c r="D13" s="57"/>
      <c r="E13" s="57"/>
      <c r="F13" s="90" t="s">
        <v>12</v>
      </c>
      <c r="G13" s="92">
        <f>SUM(F11:F13)</f>
        <v>440</v>
      </c>
      <c r="H13" s="91">
        <v>6720</v>
      </c>
      <c r="I13" s="53" t="s">
        <v>207</v>
      </c>
    </row>
    <row r="14" spans="1:9" x14ac:dyDescent="0.3">
      <c r="A14" s="58">
        <v>43870</v>
      </c>
      <c r="B14" s="58" t="s">
        <v>233</v>
      </c>
      <c r="C14" s="58" t="s">
        <v>232</v>
      </c>
      <c r="D14" s="57" t="s">
        <v>247</v>
      </c>
      <c r="E14" s="57" t="s">
        <v>243</v>
      </c>
      <c r="F14" s="89">
        <f>885*0.125+885</f>
        <v>995.625</v>
      </c>
    </row>
    <row r="15" spans="1:9" x14ac:dyDescent="0.3">
      <c r="A15" s="56">
        <v>43870</v>
      </c>
      <c r="B15" s="55" t="s">
        <v>245</v>
      </c>
      <c r="C15" s="55" t="s">
        <v>232</v>
      </c>
      <c r="D15" s="55" t="s">
        <v>247</v>
      </c>
      <c r="E15" s="55" t="s">
        <v>243</v>
      </c>
      <c r="F15" s="89">
        <f>885*0.125+885</f>
        <v>995.625</v>
      </c>
    </row>
    <row r="16" spans="1:9" x14ac:dyDescent="0.3">
      <c r="A16" s="56"/>
      <c r="B16" s="55"/>
      <c r="C16" s="55"/>
      <c r="D16" s="55"/>
      <c r="E16" s="55"/>
      <c r="F16" s="90" t="s">
        <v>12</v>
      </c>
      <c r="G16" s="92">
        <f>SUM(F14:F16)</f>
        <v>1991.25</v>
      </c>
      <c r="H16" s="119">
        <v>6550</v>
      </c>
      <c r="I16" s="53" t="s">
        <v>207</v>
      </c>
    </row>
    <row r="17" spans="1:9" x14ac:dyDescent="0.3">
      <c r="A17" s="56">
        <v>43873</v>
      </c>
      <c r="B17" s="55" t="s">
        <v>233</v>
      </c>
      <c r="C17" s="55" t="s">
        <v>232</v>
      </c>
      <c r="D17" s="55" t="s">
        <v>240</v>
      </c>
      <c r="E17" s="55" t="s">
        <v>237</v>
      </c>
      <c r="F17" s="89">
        <v>758.84</v>
      </c>
    </row>
    <row r="18" spans="1:9" x14ac:dyDescent="0.3">
      <c r="A18" s="58"/>
      <c r="B18" s="57"/>
      <c r="C18" s="57"/>
      <c r="D18" s="57"/>
      <c r="E18" s="57"/>
      <c r="F18" s="90" t="s">
        <v>12</v>
      </c>
      <c r="G18" s="92">
        <f>SUM(F17:F17)</f>
        <v>758.84</v>
      </c>
      <c r="H18" s="91">
        <v>5880</v>
      </c>
      <c r="I18" s="53" t="s">
        <v>207</v>
      </c>
    </row>
    <row r="19" spans="1:9" x14ac:dyDescent="0.3">
      <c r="A19" s="58">
        <v>43873</v>
      </c>
      <c r="B19" s="57" t="s">
        <v>245</v>
      </c>
      <c r="C19" s="57" t="s">
        <v>244</v>
      </c>
      <c r="D19" s="57" t="s">
        <v>238</v>
      </c>
      <c r="E19" s="57" t="s">
        <v>243</v>
      </c>
      <c r="F19" s="89">
        <v>68</v>
      </c>
    </row>
    <row r="20" spans="1:9" x14ac:dyDescent="0.3">
      <c r="A20" s="58"/>
      <c r="B20" s="57"/>
      <c r="C20" s="57"/>
      <c r="D20" s="57"/>
      <c r="E20" s="57"/>
      <c r="F20" s="90" t="s">
        <v>12</v>
      </c>
      <c r="G20" s="92">
        <f>SUM(F19)</f>
        <v>68</v>
      </c>
      <c r="H20" s="91">
        <v>6550</v>
      </c>
      <c r="I20" s="53" t="s">
        <v>207</v>
      </c>
    </row>
    <row r="21" spans="1:9" x14ac:dyDescent="0.3">
      <c r="A21" s="56">
        <v>43873</v>
      </c>
      <c r="B21" s="56" t="s">
        <v>233</v>
      </c>
      <c r="C21" s="56" t="s">
        <v>231</v>
      </c>
      <c r="D21" s="55" t="s">
        <v>247</v>
      </c>
      <c r="E21" s="56" t="s">
        <v>243</v>
      </c>
      <c r="F21" s="89">
        <v>440</v>
      </c>
    </row>
    <row r="22" spans="1:9" x14ac:dyDescent="0.3">
      <c r="A22" s="56">
        <v>43873</v>
      </c>
      <c r="B22" s="55" t="s">
        <v>245</v>
      </c>
      <c r="C22" s="55" t="s">
        <v>231</v>
      </c>
      <c r="D22" s="55" t="s">
        <v>247</v>
      </c>
      <c r="E22" s="55" t="s">
        <v>246</v>
      </c>
      <c r="F22" s="89">
        <v>440</v>
      </c>
    </row>
    <row r="23" spans="1:9" x14ac:dyDescent="0.3">
      <c r="A23" s="56"/>
      <c r="B23" s="55"/>
      <c r="C23" s="55"/>
      <c r="D23" s="55"/>
      <c r="E23" s="55"/>
      <c r="F23" s="90" t="s">
        <v>12</v>
      </c>
      <c r="G23" s="92">
        <f>SUM(F21:F23)</f>
        <v>880</v>
      </c>
      <c r="H23" s="91">
        <v>6550</v>
      </c>
      <c r="I23" s="53" t="s">
        <v>207</v>
      </c>
    </row>
    <row r="24" spans="1:9" x14ac:dyDescent="0.3">
      <c r="A24" s="56">
        <v>43877</v>
      </c>
      <c r="B24" s="55" t="s">
        <v>241</v>
      </c>
      <c r="C24" s="55" t="s">
        <v>232</v>
      </c>
      <c r="D24" s="55" t="s">
        <v>240</v>
      </c>
      <c r="E24" s="55" t="s">
        <v>237</v>
      </c>
      <c r="F24" s="89">
        <v>379.42</v>
      </c>
    </row>
    <row r="25" spans="1:9" x14ac:dyDescent="0.3">
      <c r="A25" s="56">
        <v>43877</v>
      </c>
      <c r="B25" s="55" t="s">
        <v>229</v>
      </c>
      <c r="C25" s="55" t="s">
        <v>232</v>
      </c>
      <c r="D25" s="55" t="s">
        <v>240</v>
      </c>
      <c r="E25" s="55" t="s">
        <v>237</v>
      </c>
      <c r="F25" s="89">
        <v>379.42</v>
      </c>
    </row>
    <row r="26" spans="1:9" x14ac:dyDescent="0.3">
      <c r="A26" s="56"/>
      <c r="B26" s="55"/>
      <c r="C26" s="55"/>
      <c r="D26" s="55"/>
      <c r="E26" s="55"/>
      <c r="F26" s="90" t="s">
        <v>12</v>
      </c>
      <c r="G26" s="92">
        <f>SUM(F24:F26)</f>
        <v>758.84</v>
      </c>
      <c r="H26" s="91">
        <v>5880</v>
      </c>
      <c r="I26" s="53" t="s">
        <v>207</v>
      </c>
    </row>
    <row r="27" spans="1:9" x14ac:dyDescent="0.3">
      <c r="A27" s="56">
        <v>43877</v>
      </c>
      <c r="B27" s="55" t="s">
        <v>233</v>
      </c>
      <c r="C27" s="55" t="s">
        <v>235</v>
      </c>
      <c r="D27" s="55" t="s">
        <v>238</v>
      </c>
      <c r="E27" s="55" t="s">
        <v>242</v>
      </c>
      <c r="F27" s="89">
        <v>119</v>
      </c>
    </row>
    <row r="28" spans="1:9" x14ac:dyDescent="0.3">
      <c r="A28" s="56">
        <v>43877</v>
      </c>
      <c r="B28" s="55" t="s">
        <v>239</v>
      </c>
      <c r="C28" s="55" t="s">
        <v>235</v>
      </c>
      <c r="D28" s="55" t="s">
        <v>238</v>
      </c>
      <c r="E28" s="55" t="s">
        <v>237</v>
      </c>
      <c r="F28" s="89">
        <v>68</v>
      </c>
    </row>
    <row r="29" spans="1:9" x14ac:dyDescent="0.3">
      <c r="A29" s="56"/>
      <c r="B29" s="55"/>
      <c r="C29" s="55"/>
      <c r="D29" s="55"/>
      <c r="E29" s="55"/>
      <c r="F29" s="90" t="s">
        <v>12</v>
      </c>
      <c r="G29" s="92">
        <f>SUM(F27:F29)</f>
        <v>187</v>
      </c>
      <c r="H29" s="91">
        <v>5880</v>
      </c>
      <c r="I29" s="53" t="s">
        <v>207</v>
      </c>
    </row>
    <row r="30" spans="1:9" x14ac:dyDescent="0.3">
      <c r="A30" s="56">
        <v>43877</v>
      </c>
      <c r="B30" s="55" t="s">
        <v>233</v>
      </c>
      <c r="C30" s="55" t="s">
        <v>231</v>
      </c>
      <c r="D30" s="55" t="s">
        <v>240</v>
      </c>
      <c r="E30" s="55" t="s">
        <v>237</v>
      </c>
      <c r="F30" s="89">
        <v>440</v>
      </c>
    </row>
    <row r="31" spans="1:9" x14ac:dyDescent="0.3">
      <c r="A31" s="56">
        <v>43877</v>
      </c>
      <c r="B31" s="55" t="s">
        <v>241</v>
      </c>
      <c r="C31" s="55" t="s">
        <v>231</v>
      </c>
      <c r="D31" s="55" t="s">
        <v>240</v>
      </c>
      <c r="E31" s="55" t="s">
        <v>237</v>
      </c>
      <c r="F31" s="89">
        <v>330</v>
      </c>
    </row>
    <row r="32" spans="1:9" x14ac:dyDescent="0.3">
      <c r="A32" s="56">
        <v>43877</v>
      </c>
      <c r="B32" s="55" t="s">
        <v>229</v>
      </c>
      <c r="C32" s="55" t="s">
        <v>231</v>
      </c>
      <c r="D32" s="55" t="s">
        <v>240</v>
      </c>
      <c r="E32" s="55" t="s">
        <v>237</v>
      </c>
      <c r="F32" s="89">
        <v>330</v>
      </c>
    </row>
    <row r="33" spans="1:9" x14ac:dyDescent="0.3">
      <c r="A33" s="56"/>
      <c r="B33" s="55"/>
      <c r="C33" s="55"/>
      <c r="D33" s="55"/>
      <c r="E33" s="55"/>
      <c r="F33" s="90" t="s">
        <v>12</v>
      </c>
      <c r="G33" s="92">
        <f>SUM(F30:F33)</f>
        <v>1100</v>
      </c>
      <c r="H33" s="91">
        <v>5880</v>
      </c>
      <c r="I33" s="53" t="s">
        <v>207</v>
      </c>
    </row>
    <row r="34" spans="1:9" x14ac:dyDescent="0.3">
      <c r="A34" s="56">
        <v>43918</v>
      </c>
      <c r="B34" s="55" t="s">
        <v>233</v>
      </c>
      <c r="C34" s="55" t="s">
        <v>228</v>
      </c>
      <c r="D34" s="55" t="s">
        <v>227</v>
      </c>
      <c r="E34" s="55" t="s">
        <v>226</v>
      </c>
      <c r="F34" s="89">
        <v>437.8</v>
      </c>
    </row>
    <row r="35" spans="1:9" x14ac:dyDescent="0.3">
      <c r="A35" s="58">
        <v>43918</v>
      </c>
      <c r="B35" s="57" t="s">
        <v>229</v>
      </c>
      <c r="C35" s="57" t="s">
        <v>228</v>
      </c>
      <c r="D35" s="57" t="s">
        <v>227</v>
      </c>
      <c r="E35" s="57" t="s">
        <v>226</v>
      </c>
      <c r="F35" s="89">
        <v>437.8</v>
      </c>
    </row>
    <row r="36" spans="1:9" x14ac:dyDescent="0.3">
      <c r="A36" s="56">
        <v>43918</v>
      </c>
      <c r="B36" s="55" t="s">
        <v>229</v>
      </c>
      <c r="C36" s="55" t="s">
        <v>232</v>
      </c>
      <c r="D36" s="55" t="s">
        <v>230</v>
      </c>
      <c r="E36" s="55" t="s">
        <v>226</v>
      </c>
      <c r="F36" s="89">
        <v>983.61</v>
      </c>
      <c r="G36" s="117" t="s">
        <v>291</v>
      </c>
      <c r="H36" s="118" t="s">
        <v>207</v>
      </c>
    </row>
    <row r="37" spans="1:9" x14ac:dyDescent="0.3">
      <c r="A37" s="87">
        <v>43918</v>
      </c>
      <c r="B37" s="59" t="s">
        <v>233</v>
      </c>
      <c r="C37" s="59" t="s">
        <v>236</v>
      </c>
      <c r="D37" s="59" t="s">
        <v>230</v>
      </c>
      <c r="E37" s="59" t="s">
        <v>226</v>
      </c>
      <c r="F37" s="89">
        <v>983.61</v>
      </c>
      <c r="G37" s="117" t="s">
        <v>291</v>
      </c>
      <c r="H37" s="118" t="s">
        <v>207</v>
      </c>
    </row>
    <row r="38" spans="1:9" x14ac:dyDescent="0.3">
      <c r="A38" s="58">
        <v>43918</v>
      </c>
      <c r="B38" s="57" t="s">
        <v>233</v>
      </c>
      <c r="C38" s="57" t="s">
        <v>235</v>
      </c>
      <c r="D38" s="57" t="s">
        <v>234</v>
      </c>
      <c r="E38" s="57" t="s">
        <v>226</v>
      </c>
      <c r="F38" s="89">
        <v>72</v>
      </c>
    </row>
    <row r="39" spans="1:9" x14ac:dyDescent="0.3">
      <c r="A39" s="58"/>
      <c r="B39" s="57"/>
      <c r="C39" s="57"/>
      <c r="D39" s="57"/>
      <c r="E39" s="57"/>
      <c r="F39" s="90" t="s">
        <v>12</v>
      </c>
      <c r="G39" s="92">
        <f>SUM(F34:F39)</f>
        <v>2914.82</v>
      </c>
      <c r="H39" s="91">
        <v>6550</v>
      </c>
      <c r="I39" s="53" t="s">
        <v>207</v>
      </c>
    </row>
    <row r="40" spans="1:9" x14ac:dyDescent="0.3">
      <c r="A40" s="56">
        <v>43918</v>
      </c>
      <c r="B40" s="55" t="s">
        <v>233</v>
      </c>
      <c r="C40" s="55" t="s">
        <v>231</v>
      </c>
      <c r="D40" s="55" t="s">
        <v>230</v>
      </c>
      <c r="E40" s="55" t="s">
        <v>226</v>
      </c>
      <c r="F40" s="89">
        <v>330</v>
      </c>
    </row>
    <row r="41" spans="1:9" x14ac:dyDescent="0.3">
      <c r="A41" s="56">
        <v>43918</v>
      </c>
      <c r="B41" s="55" t="s">
        <v>229</v>
      </c>
      <c r="C41" s="55" t="s">
        <v>231</v>
      </c>
      <c r="D41" s="55" t="s">
        <v>230</v>
      </c>
      <c r="E41" s="55" t="s">
        <v>226</v>
      </c>
      <c r="F41" s="89">
        <v>330</v>
      </c>
    </row>
    <row r="42" spans="1:9" x14ac:dyDescent="0.3">
      <c r="A42" s="54"/>
      <c r="F42" s="90" t="s">
        <v>12</v>
      </c>
      <c r="G42" s="92">
        <f>SUM(F40:F41)</f>
        <v>660</v>
      </c>
      <c r="H42" s="91">
        <v>6550</v>
      </c>
      <c r="I42" s="53" t="s">
        <v>207</v>
      </c>
    </row>
  </sheetData>
  <sortState xmlns:xlrd2="http://schemas.microsoft.com/office/spreadsheetml/2017/richdata2" ref="A5:F41">
    <sortCondition ref="A5"/>
  </sortState>
  <printOptions horizontalCentered="1" verticalCentered="1"/>
  <pageMargins left="0.45" right="0.45" top="0.5" bottom="0.5" header="0.05" footer="0"/>
  <pageSetup scale="8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C6A4-E100-4155-8F30-15F48D28FA7F}">
  <sheetPr codeName="Sheet11"/>
  <dimension ref="A1:J24"/>
  <sheetViews>
    <sheetView workbookViewId="0">
      <selection activeCell="J33" sqref="J33"/>
    </sheetView>
  </sheetViews>
  <sheetFormatPr defaultColWidth="9.109375" defaultRowHeight="13.2" x14ac:dyDescent="0.25"/>
  <cols>
    <col min="1" max="1" width="9.109375" style="152"/>
    <col min="2" max="2" width="19.109375" style="152" bestFit="1" customWidth="1"/>
    <col min="3" max="3" width="11.44140625" style="152" bestFit="1" customWidth="1"/>
    <col min="4" max="4" width="20.6640625" style="152" hidden="1" customWidth="1"/>
    <col min="5" max="5" width="21" style="152" hidden="1" customWidth="1"/>
    <col min="6" max="6" width="10.88671875" style="152" bestFit="1" customWidth="1"/>
    <col min="7" max="7" width="26.33203125" style="152" customWidth="1"/>
    <col min="8" max="8" width="14" style="152" bestFit="1" customWidth="1"/>
    <col min="9" max="9" width="10.44140625" style="152" bestFit="1" customWidth="1"/>
    <col min="10" max="16384" width="9.109375" style="152"/>
  </cols>
  <sheetData>
    <row r="1" spans="1:10" ht="21" customHeight="1" thickBot="1" x14ac:dyDescent="0.3">
      <c r="A1" s="613" t="s">
        <v>341</v>
      </c>
      <c r="B1" s="614"/>
      <c r="C1" s="614"/>
      <c r="D1" s="614"/>
      <c r="E1" s="614"/>
      <c r="F1" s="614"/>
      <c r="G1" s="614"/>
      <c r="H1" s="614"/>
      <c r="I1" s="615"/>
      <c r="J1" s="182"/>
    </row>
    <row r="2" spans="1:10" ht="13.8" thickBot="1" x14ac:dyDescent="0.3">
      <c r="A2" s="213" t="s">
        <v>134</v>
      </c>
      <c r="B2" s="212" t="s">
        <v>310</v>
      </c>
      <c r="C2" s="211" t="s">
        <v>340</v>
      </c>
      <c r="D2" s="212" t="s">
        <v>339</v>
      </c>
      <c r="E2" s="212" t="s">
        <v>338</v>
      </c>
      <c r="F2" s="211" t="s">
        <v>337</v>
      </c>
      <c r="G2" s="211" t="s">
        <v>211</v>
      </c>
      <c r="H2" s="211" t="s">
        <v>336</v>
      </c>
      <c r="I2" s="210" t="s">
        <v>335</v>
      </c>
      <c r="J2" s="182"/>
    </row>
    <row r="3" spans="1:10" x14ac:dyDescent="0.25">
      <c r="A3" s="209" t="s">
        <v>331</v>
      </c>
      <c r="B3" s="208" t="s">
        <v>298</v>
      </c>
      <c r="C3" s="207" t="s">
        <v>334</v>
      </c>
      <c r="D3" s="207" t="s">
        <v>312</v>
      </c>
      <c r="E3" s="206" t="s">
        <v>315</v>
      </c>
      <c r="F3" s="205">
        <v>52941.17</v>
      </c>
      <c r="G3" s="205" t="s">
        <v>333</v>
      </c>
      <c r="H3" s="204">
        <v>52820.59</v>
      </c>
      <c r="I3" s="203">
        <f>SUM(F3-H3)</f>
        <v>120.58000000000175</v>
      </c>
      <c r="J3" s="182"/>
    </row>
    <row r="4" spans="1:10" x14ac:dyDescent="0.25">
      <c r="A4" s="202" t="s">
        <v>328</v>
      </c>
      <c r="B4" s="171" t="s">
        <v>313</v>
      </c>
      <c r="C4" s="170" t="s">
        <v>332</v>
      </c>
      <c r="D4" s="170" t="s">
        <v>312</v>
      </c>
      <c r="E4" s="169"/>
      <c r="F4" s="201">
        <v>-52941.17</v>
      </c>
      <c r="G4" s="200"/>
      <c r="H4" s="199"/>
      <c r="I4" s="198"/>
      <c r="J4" s="182"/>
    </row>
    <row r="5" spans="1:10" x14ac:dyDescent="0.25">
      <c r="A5" s="202" t="s">
        <v>331</v>
      </c>
      <c r="B5" s="171" t="s">
        <v>298</v>
      </c>
      <c r="C5" s="170" t="s">
        <v>330</v>
      </c>
      <c r="D5" s="170" t="s">
        <v>312</v>
      </c>
      <c r="E5" s="169" t="s">
        <v>315</v>
      </c>
      <c r="F5" s="201">
        <v>41176.5</v>
      </c>
      <c r="G5" s="201" t="s">
        <v>329</v>
      </c>
      <c r="H5" s="199">
        <v>36368.050000000003</v>
      </c>
      <c r="I5" s="198">
        <f>SUM(F5-H5)</f>
        <v>4808.4499999999971</v>
      </c>
      <c r="J5" s="182"/>
    </row>
    <row r="6" spans="1:10" x14ac:dyDescent="0.25">
      <c r="A6" s="202" t="s">
        <v>328</v>
      </c>
      <c r="B6" s="171" t="s">
        <v>313</v>
      </c>
      <c r="C6" s="170" t="s">
        <v>327</v>
      </c>
      <c r="D6" s="170" t="s">
        <v>312</v>
      </c>
      <c r="E6" s="169"/>
      <c r="F6" s="201">
        <v>-41176.5</v>
      </c>
      <c r="G6" s="200"/>
      <c r="H6" s="199"/>
      <c r="I6" s="198"/>
      <c r="J6" s="182"/>
    </row>
    <row r="7" spans="1:10" x14ac:dyDescent="0.25">
      <c r="A7" s="202" t="s">
        <v>326</v>
      </c>
      <c r="B7" s="171" t="s">
        <v>298</v>
      </c>
      <c r="C7" s="170" t="s">
        <v>325</v>
      </c>
      <c r="D7" s="170" t="s">
        <v>312</v>
      </c>
      <c r="E7" s="169" t="s">
        <v>315</v>
      </c>
      <c r="F7" s="201">
        <v>41176.480000000003</v>
      </c>
      <c r="G7" s="201" t="s">
        <v>324</v>
      </c>
      <c r="H7" s="199">
        <v>34294.120000000003</v>
      </c>
      <c r="I7" s="198">
        <f>SUM(F7-H7)</f>
        <v>6882.3600000000006</v>
      </c>
      <c r="J7" s="182"/>
    </row>
    <row r="8" spans="1:10" x14ac:dyDescent="0.25">
      <c r="A8" s="202" t="s">
        <v>323</v>
      </c>
      <c r="B8" s="171" t="s">
        <v>313</v>
      </c>
      <c r="C8" s="170" t="s">
        <v>322</v>
      </c>
      <c r="D8" s="170" t="s">
        <v>312</v>
      </c>
      <c r="E8" s="169"/>
      <c r="F8" s="201">
        <v>-41176.480000000003</v>
      </c>
      <c r="G8" s="200"/>
      <c r="H8" s="199"/>
      <c r="I8" s="198"/>
      <c r="J8" s="182"/>
    </row>
    <row r="9" spans="1:10" x14ac:dyDescent="0.25">
      <c r="A9" s="202" t="s">
        <v>123</v>
      </c>
      <c r="B9" s="171" t="s">
        <v>298</v>
      </c>
      <c r="C9" s="170" t="s">
        <v>321</v>
      </c>
      <c r="D9" s="170" t="s">
        <v>312</v>
      </c>
      <c r="E9" s="169" t="s">
        <v>315</v>
      </c>
      <c r="F9" s="201">
        <v>41176.480000000003</v>
      </c>
      <c r="G9" s="200" t="s">
        <v>320</v>
      </c>
      <c r="H9" s="199">
        <v>25485.42</v>
      </c>
      <c r="I9" s="198">
        <f>SUM(F9-H9)</f>
        <v>15691.060000000005</v>
      </c>
      <c r="J9" s="182"/>
    </row>
    <row r="10" spans="1:10" x14ac:dyDescent="0.25">
      <c r="A10" s="202" t="s">
        <v>319</v>
      </c>
      <c r="B10" s="171" t="s">
        <v>313</v>
      </c>
      <c r="C10" s="170" t="s">
        <v>318</v>
      </c>
      <c r="D10" s="170" t="s">
        <v>312</v>
      </c>
      <c r="E10" s="169"/>
      <c r="F10" s="201">
        <v>-41176.480000000003</v>
      </c>
      <c r="G10" s="200"/>
      <c r="H10" s="199"/>
      <c r="I10" s="198"/>
      <c r="J10" s="182"/>
    </row>
    <row r="11" spans="1:10" x14ac:dyDescent="0.25">
      <c r="A11" s="202" t="s">
        <v>317</v>
      </c>
      <c r="B11" s="171" t="s">
        <v>298</v>
      </c>
      <c r="C11" s="170" t="s">
        <v>316</v>
      </c>
      <c r="D11" s="170" t="s">
        <v>312</v>
      </c>
      <c r="E11" s="169" t="s">
        <v>315</v>
      </c>
      <c r="F11" s="201">
        <v>41176.47</v>
      </c>
      <c r="G11" s="200" t="s">
        <v>314</v>
      </c>
      <c r="H11" s="199">
        <v>25470.59</v>
      </c>
      <c r="I11" s="198">
        <f>SUM(F11-H11)</f>
        <v>15705.880000000001</v>
      </c>
      <c r="J11" s="182"/>
    </row>
    <row r="12" spans="1:10" ht="13.8" thickBot="1" x14ac:dyDescent="0.3">
      <c r="A12" s="197">
        <v>43812</v>
      </c>
      <c r="B12" s="196" t="s">
        <v>313</v>
      </c>
      <c r="C12" s="195"/>
      <c r="D12" s="194" t="s">
        <v>312</v>
      </c>
      <c r="E12" s="193"/>
      <c r="F12" s="192">
        <v>-41176.47</v>
      </c>
      <c r="G12" s="191"/>
      <c r="H12" s="190"/>
      <c r="I12" s="189"/>
      <c r="J12" s="182"/>
    </row>
    <row r="13" spans="1:10" ht="13.8" thickBot="1" x14ac:dyDescent="0.3">
      <c r="A13" s="188" t="s">
        <v>311</v>
      </c>
      <c r="B13" s="187" t="s">
        <v>310</v>
      </c>
      <c r="C13" s="186" t="s">
        <v>309</v>
      </c>
      <c r="D13" s="185"/>
      <c r="E13" s="185"/>
      <c r="F13" s="184"/>
      <c r="G13" s="616" t="s">
        <v>308</v>
      </c>
      <c r="H13" s="617"/>
      <c r="I13" s="183">
        <f>SUM(I3:I11)</f>
        <v>43208.33</v>
      </c>
      <c r="J13" s="182"/>
    </row>
    <row r="14" spans="1:10" x14ac:dyDescent="0.25">
      <c r="A14" s="181">
        <v>43814</v>
      </c>
      <c r="B14" s="180" t="s">
        <v>307</v>
      </c>
      <c r="C14" s="179" t="s">
        <v>306</v>
      </c>
      <c r="D14" s="179"/>
      <c r="E14" s="178"/>
      <c r="F14" s="177" t="s">
        <v>207</v>
      </c>
      <c r="G14" s="176" t="s">
        <v>305</v>
      </c>
      <c r="H14" s="175">
        <f>SUM(H11)</f>
        <v>25470.59</v>
      </c>
      <c r="I14" s="174">
        <v>0</v>
      </c>
      <c r="J14" s="173"/>
    </row>
    <row r="15" spans="1:10" x14ac:dyDescent="0.25">
      <c r="A15" s="172">
        <v>43845</v>
      </c>
      <c r="B15" s="171" t="s">
        <v>298</v>
      </c>
      <c r="C15" s="170" t="s">
        <v>304</v>
      </c>
      <c r="D15" s="170"/>
      <c r="E15" s="169"/>
      <c r="F15" s="168" t="s">
        <v>207</v>
      </c>
      <c r="G15" s="167" t="s">
        <v>303</v>
      </c>
      <c r="H15" s="166">
        <f>SUM(H14)-27</f>
        <v>25443.59</v>
      </c>
      <c r="I15" s="165">
        <f>SUM(I13-(H15+H14))</f>
        <v>-7705.8499999999985</v>
      </c>
    </row>
    <row r="16" spans="1:10" x14ac:dyDescent="0.25">
      <c r="A16" s="172">
        <v>43876</v>
      </c>
      <c r="B16" s="171" t="s">
        <v>298</v>
      </c>
      <c r="C16" s="170" t="s">
        <v>302</v>
      </c>
      <c r="D16" s="170"/>
      <c r="E16" s="169"/>
      <c r="F16" s="168" t="s">
        <v>207</v>
      </c>
      <c r="G16" s="167" t="s">
        <v>301</v>
      </c>
      <c r="H16" s="166">
        <v>24882.35</v>
      </c>
      <c r="I16" s="165">
        <f>SUM(H16)*-1</f>
        <v>-24882.35</v>
      </c>
    </row>
    <row r="17" spans="1:9" x14ac:dyDescent="0.25">
      <c r="A17" s="172">
        <v>43905</v>
      </c>
      <c r="B17" s="171" t="s">
        <v>298</v>
      </c>
      <c r="C17" s="170" t="s">
        <v>300</v>
      </c>
      <c r="D17" s="170"/>
      <c r="E17" s="169"/>
      <c r="F17" s="168" t="s">
        <v>207</v>
      </c>
      <c r="G17" s="167" t="s">
        <v>299</v>
      </c>
      <c r="H17" s="166">
        <f>SUM(H16)</f>
        <v>24882.35</v>
      </c>
      <c r="I17" s="165">
        <f>SUM(H17)*-1</f>
        <v>-24882.35</v>
      </c>
    </row>
    <row r="18" spans="1:9" ht="13.8" thickBot="1" x14ac:dyDescent="0.3">
      <c r="A18" s="164">
        <v>43936</v>
      </c>
      <c r="B18" s="163" t="s">
        <v>298</v>
      </c>
      <c r="C18" s="162" t="s">
        <v>297</v>
      </c>
      <c r="D18" s="162"/>
      <c r="E18" s="161"/>
      <c r="F18" s="160" t="s">
        <v>207</v>
      </c>
      <c r="G18" s="159" t="s">
        <v>296</v>
      </c>
      <c r="H18" s="158">
        <f>SUM(H17)</f>
        <v>24882.35</v>
      </c>
      <c r="I18" s="157">
        <f>SUM(H18)*-1</f>
        <v>-24882.35</v>
      </c>
    </row>
    <row r="19" spans="1:9" x14ac:dyDescent="0.25">
      <c r="A19" s="154"/>
      <c r="B19" s="154"/>
      <c r="C19" s="154"/>
      <c r="D19" s="154"/>
      <c r="E19" s="154"/>
      <c r="F19" s="153"/>
      <c r="H19" s="156">
        <f>SUM(H18+H17+H16+H15+H14+H11+H9+H7+H5+H3)</f>
        <v>300000</v>
      </c>
      <c r="I19" s="155" t="s">
        <v>295</v>
      </c>
    </row>
    <row r="20" spans="1:9" x14ac:dyDescent="0.25">
      <c r="A20" s="154"/>
      <c r="B20" s="154"/>
      <c r="C20" s="154"/>
      <c r="D20" s="154"/>
      <c r="E20" s="154"/>
      <c r="F20" s="153"/>
    </row>
    <row r="21" spans="1:9" x14ac:dyDescent="0.25">
      <c r="A21" s="154"/>
      <c r="B21" s="154"/>
      <c r="C21" s="154"/>
      <c r="D21" s="154"/>
      <c r="E21" s="154"/>
      <c r="F21" s="153"/>
    </row>
    <row r="22" spans="1:9" x14ac:dyDescent="0.25">
      <c r="A22" s="154"/>
      <c r="B22" s="154"/>
      <c r="C22" s="154"/>
      <c r="D22" s="154"/>
      <c r="E22" s="154"/>
      <c r="F22" s="153"/>
    </row>
    <row r="23" spans="1:9" x14ac:dyDescent="0.25">
      <c r="A23" s="154"/>
      <c r="B23" s="154"/>
      <c r="C23" s="154"/>
      <c r="D23" s="154"/>
      <c r="E23" s="154"/>
      <c r="F23" s="153"/>
    </row>
    <row r="24" spans="1:9" x14ac:dyDescent="0.25">
      <c r="A24" s="154"/>
      <c r="B24" s="154"/>
      <c r="C24" s="154"/>
      <c r="D24" s="154"/>
      <c r="E24" s="154"/>
      <c r="F24" s="153"/>
    </row>
  </sheetData>
  <mergeCells count="2">
    <mergeCell ref="A1:I1"/>
    <mergeCell ref="G13:H13"/>
  </mergeCells>
  <printOptions horizontalCentered="1" verticalCentered="1"/>
  <pageMargins left="0.25" right="0.25" top="0.75" bottom="0.75" header="0.3" footer="0.3"/>
  <pageSetup scale="1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A75A0-3131-4FF8-91F8-A59AF4F56CC9}">
  <sheetPr>
    <tabColor theme="7" tint="0.59999389629810485"/>
    <pageSetUpPr fitToPage="1"/>
  </sheetPr>
  <dimension ref="A1:N40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D24" sqref="D24"/>
    </sheetView>
  </sheetViews>
  <sheetFormatPr defaultColWidth="9.109375" defaultRowHeight="15.6" x14ac:dyDescent="0.3"/>
  <cols>
    <col min="1" max="1" width="39.88671875" style="517" customWidth="1"/>
    <col min="2" max="8" width="12.77734375" style="516" customWidth="1"/>
    <col min="9" max="9" width="9.109375" style="516"/>
    <col min="10" max="10" width="14.33203125" style="536" bestFit="1" customWidth="1"/>
    <col min="11" max="11" width="13.5546875" style="537" bestFit="1" customWidth="1"/>
    <col min="12" max="12" width="12.5546875" style="517" bestFit="1" customWidth="1"/>
    <col min="13" max="13" width="12.5546875" style="537" bestFit="1" customWidth="1"/>
    <col min="14" max="14" width="9.77734375" style="517" bestFit="1" customWidth="1"/>
    <col min="15" max="16384" width="9.109375" style="517"/>
  </cols>
  <sheetData>
    <row r="1" spans="1:14" x14ac:dyDescent="0.3">
      <c r="A1" s="580" t="s">
        <v>108</v>
      </c>
      <c r="B1" s="580"/>
      <c r="C1" s="580"/>
      <c r="D1" s="580"/>
      <c r="E1" s="580"/>
      <c r="F1" s="580"/>
      <c r="G1" s="580"/>
    </row>
    <row r="2" spans="1:14" x14ac:dyDescent="0.3">
      <c r="A2" s="580" t="s">
        <v>456</v>
      </c>
      <c r="B2" s="580"/>
      <c r="C2" s="580"/>
      <c r="D2" s="580"/>
      <c r="E2" s="580"/>
      <c r="F2" s="580"/>
      <c r="G2" s="580"/>
    </row>
    <row r="3" spans="1:14" x14ac:dyDescent="0.3">
      <c r="A3" s="580" t="s">
        <v>457</v>
      </c>
      <c r="B3" s="580"/>
      <c r="C3" s="580"/>
      <c r="D3" s="580"/>
      <c r="E3" s="580"/>
      <c r="F3" s="580"/>
      <c r="G3" s="580"/>
    </row>
    <row r="4" spans="1:14" x14ac:dyDescent="0.3">
      <c r="A4" s="543"/>
      <c r="B4" s="543"/>
      <c r="C4" s="543"/>
      <c r="D4" s="543"/>
      <c r="E4" s="543"/>
      <c r="F4" s="543"/>
      <c r="G4" s="543"/>
    </row>
    <row r="5" spans="1:14" x14ac:dyDescent="0.3">
      <c r="B5" s="541" t="s">
        <v>451</v>
      </c>
      <c r="C5" s="541" t="s">
        <v>451</v>
      </c>
      <c r="D5" s="555" t="s">
        <v>451</v>
      </c>
      <c r="E5" s="542" t="s">
        <v>458</v>
      </c>
      <c r="F5" s="542" t="s">
        <v>458</v>
      </c>
      <c r="G5" s="542" t="s">
        <v>458</v>
      </c>
    </row>
    <row r="6" spans="1:14" x14ac:dyDescent="0.3">
      <c r="A6" s="518"/>
      <c r="B6" s="544" t="s">
        <v>6</v>
      </c>
      <c r="C6" s="544" t="s">
        <v>7</v>
      </c>
      <c r="D6" s="556" t="s">
        <v>8</v>
      </c>
      <c r="E6" s="544" t="s">
        <v>9</v>
      </c>
      <c r="F6" s="544" t="s">
        <v>10</v>
      </c>
      <c r="G6" s="544" t="s">
        <v>11</v>
      </c>
    </row>
    <row r="7" spans="1:14" ht="15" customHeight="1" x14ac:dyDescent="0.3">
      <c r="A7" s="519" t="s">
        <v>459</v>
      </c>
      <c r="B7" s="525">
        <v>42420.24</v>
      </c>
      <c r="C7" s="525">
        <f>+B29-C8</f>
        <v>77744.379999999976</v>
      </c>
      <c r="D7" s="557">
        <f>+C29-D8</f>
        <v>213501.93</v>
      </c>
      <c r="E7" s="531">
        <f>+D29-E8</f>
        <v>168469.21000000002</v>
      </c>
      <c r="F7" s="525">
        <f>+E29-F8</f>
        <v>272511.70750000002</v>
      </c>
      <c r="G7" s="525">
        <f>+F29-G8</f>
        <v>240865.20500000002</v>
      </c>
      <c r="H7" s="520"/>
    </row>
    <row r="8" spans="1:14" ht="15" customHeight="1" x14ac:dyDescent="0.3">
      <c r="A8" s="519" t="s">
        <v>464</v>
      </c>
      <c r="B8" s="525">
        <v>153358.57999999999</v>
      </c>
      <c r="C8" s="525">
        <v>88381.35</v>
      </c>
      <c r="D8" s="557">
        <v>58395</v>
      </c>
      <c r="E8" s="531">
        <v>58404.92</v>
      </c>
      <c r="F8" s="525">
        <f>+E8</f>
        <v>58404.92</v>
      </c>
      <c r="G8" s="525">
        <f>+F8</f>
        <v>58404.92</v>
      </c>
      <c r="H8" s="520"/>
      <c r="I8" s="516" t="s">
        <v>480</v>
      </c>
    </row>
    <row r="9" spans="1:14" ht="15" customHeight="1" x14ac:dyDescent="0.3">
      <c r="A9" s="519" t="s">
        <v>460</v>
      </c>
      <c r="B9" s="525"/>
      <c r="C9" s="525"/>
      <c r="D9" s="557"/>
      <c r="E9" s="531"/>
      <c r="F9" s="525"/>
      <c r="G9" s="525"/>
      <c r="H9" s="520"/>
      <c r="J9" s="554" t="s">
        <v>483</v>
      </c>
      <c r="K9" s="538" t="s">
        <v>479</v>
      </c>
      <c r="L9" s="553" t="s">
        <v>481</v>
      </c>
      <c r="N9" s="553" t="s">
        <v>482</v>
      </c>
    </row>
    <row r="10" spans="1:14" ht="15" customHeight="1" x14ac:dyDescent="0.3">
      <c r="A10" s="519" t="s">
        <v>461</v>
      </c>
      <c r="B10" s="526"/>
      <c r="C10" s="526">
        <f>78542.42+78542.42+78542.42</f>
        <v>235627.26</v>
      </c>
      <c r="D10" s="558"/>
      <c r="E10" s="532">
        <f>+J12</f>
        <v>210081</v>
      </c>
      <c r="F10" s="526"/>
      <c r="G10" s="526"/>
      <c r="H10" s="520"/>
      <c r="I10" s="516" t="s">
        <v>474</v>
      </c>
      <c r="J10" s="536">
        <v>342423.47</v>
      </c>
      <c r="L10" s="537">
        <v>344190.66</v>
      </c>
    </row>
    <row r="11" spans="1:14" ht="15" customHeight="1" x14ac:dyDescent="0.3">
      <c r="A11" s="519" t="s">
        <v>462</v>
      </c>
      <c r="B11" s="527"/>
      <c r="C11" s="527">
        <v>-59567.85</v>
      </c>
      <c r="D11" s="559"/>
      <c r="E11" s="535">
        <f>+K12</f>
        <v>-70027</v>
      </c>
      <c r="F11" s="525"/>
      <c r="G11" s="525"/>
      <c r="H11" s="520"/>
      <c r="I11" s="516" t="s">
        <v>475</v>
      </c>
      <c r="J11" s="536">
        <v>176056.41</v>
      </c>
      <c r="L11" s="537">
        <v>207171.54</v>
      </c>
    </row>
    <row r="12" spans="1:14" ht="15" customHeight="1" x14ac:dyDescent="0.3">
      <c r="A12" s="519" t="s">
        <v>463</v>
      </c>
      <c r="B12" s="526">
        <f>40630.8+40630.8</f>
        <v>81261.600000000006</v>
      </c>
      <c r="C12" s="526">
        <f t="shared" ref="C12:G12" si="0">40630.8</f>
        <v>40630.800000000003</v>
      </c>
      <c r="D12" s="558">
        <v>40631</v>
      </c>
      <c r="E12" s="532">
        <f t="shared" si="0"/>
        <v>40630.800000000003</v>
      </c>
      <c r="F12" s="526">
        <f t="shared" si="0"/>
        <v>40630.800000000003</v>
      </c>
      <c r="G12" s="526">
        <f t="shared" si="0"/>
        <v>40630.800000000003</v>
      </c>
      <c r="H12" s="520"/>
      <c r="I12" s="516" t="s">
        <v>476</v>
      </c>
      <c r="J12" s="551">
        <v>210081</v>
      </c>
      <c r="K12" s="537">
        <f>-J12/3</f>
        <v>-70027</v>
      </c>
      <c r="L12" s="537">
        <v>165784.35</v>
      </c>
      <c r="N12" s="537">
        <v>210081</v>
      </c>
    </row>
    <row r="13" spans="1:14" ht="15" customHeight="1" x14ac:dyDescent="0.3">
      <c r="A13" s="519" t="s">
        <v>472</v>
      </c>
      <c r="B13" s="526">
        <v>486.44</v>
      </c>
      <c r="C13" s="526"/>
      <c r="D13" s="558">
        <v>508.8</v>
      </c>
      <c r="E13" s="532"/>
      <c r="F13" s="526"/>
      <c r="G13" s="526"/>
      <c r="H13" s="520"/>
      <c r="I13" s="516" t="s">
        <v>477</v>
      </c>
      <c r="J13" s="539">
        <v>222260</v>
      </c>
      <c r="K13" s="537">
        <f>-(J13/3)*2</f>
        <v>-148173.33333333334</v>
      </c>
      <c r="L13" s="552">
        <v>253257.63</v>
      </c>
      <c r="N13" s="537">
        <v>222260.48000000001</v>
      </c>
    </row>
    <row r="14" spans="1:14" ht="15" customHeight="1" thickBot="1" x14ac:dyDescent="0.35">
      <c r="A14" s="519" t="s">
        <v>17</v>
      </c>
      <c r="B14" s="547"/>
      <c r="C14" s="547"/>
      <c r="D14" s="560">
        <v>247.63</v>
      </c>
      <c r="E14" s="548"/>
      <c r="F14" s="547"/>
      <c r="G14" s="547"/>
      <c r="H14" s="520"/>
      <c r="J14" s="536">
        <f>SUM(J10:J13)</f>
        <v>950820.88</v>
      </c>
      <c r="L14" s="537">
        <f>SUM(L10:L13)</f>
        <v>970404.17999999993</v>
      </c>
    </row>
    <row r="15" spans="1:14" ht="15" customHeight="1" x14ac:dyDescent="0.3">
      <c r="A15" s="521" t="s">
        <v>465</v>
      </c>
      <c r="B15" s="545">
        <f t="shared" ref="B15:G15" si="1">SUM(B9:B14)</f>
        <v>81748.040000000008</v>
      </c>
      <c r="C15" s="545">
        <f t="shared" si="1"/>
        <v>216690.21000000002</v>
      </c>
      <c r="D15" s="561">
        <f t="shared" si="1"/>
        <v>41387.43</v>
      </c>
      <c r="E15" s="546">
        <f t="shared" si="1"/>
        <v>180684.79999999999</v>
      </c>
      <c r="F15" s="545">
        <f t="shared" si="1"/>
        <v>40630.800000000003</v>
      </c>
      <c r="G15" s="545">
        <f t="shared" si="1"/>
        <v>40630.800000000003</v>
      </c>
      <c r="H15" s="520"/>
      <c r="I15" s="517"/>
      <c r="J15" s="517"/>
      <c r="L15" s="537"/>
    </row>
    <row r="16" spans="1:14" ht="15" customHeight="1" x14ac:dyDescent="0.3">
      <c r="A16" s="519" t="s">
        <v>466</v>
      </c>
      <c r="B16" s="528"/>
      <c r="C16" s="528"/>
      <c r="D16" s="562"/>
      <c r="E16" s="533"/>
      <c r="F16" s="528"/>
      <c r="G16" s="528"/>
      <c r="H16" s="520"/>
      <c r="I16" s="516" t="s">
        <v>478</v>
      </c>
      <c r="J16" s="536">
        <v>942497</v>
      </c>
      <c r="L16" s="537"/>
    </row>
    <row r="17" spans="1:12" ht="15" customHeight="1" x14ac:dyDescent="0.3">
      <c r="A17" s="519" t="s">
        <v>24</v>
      </c>
      <c r="B17" s="525"/>
      <c r="C17" s="525"/>
      <c r="D17" s="557"/>
      <c r="E17" s="531"/>
      <c r="F17" s="525"/>
      <c r="G17" s="525"/>
      <c r="H17" s="522"/>
      <c r="I17" s="523"/>
      <c r="L17" s="537"/>
    </row>
    <row r="18" spans="1:12" ht="15" customHeight="1" x14ac:dyDescent="0.3">
      <c r="A18" s="519" t="s">
        <v>25</v>
      </c>
      <c r="B18" s="526">
        <v>27558.07</v>
      </c>
      <c r="C18" s="526">
        <v>8626.69</v>
      </c>
      <c r="D18" s="558">
        <v>2464</v>
      </c>
      <c r="E18" s="532">
        <v>7375</v>
      </c>
      <c r="F18" s="526">
        <v>7375</v>
      </c>
      <c r="G18" s="526">
        <v>7375</v>
      </c>
      <c r="H18" s="522"/>
      <c r="I18" s="524"/>
      <c r="L18" s="537"/>
    </row>
    <row r="19" spans="1:12" ht="15" customHeight="1" x14ac:dyDescent="0.3">
      <c r="A19" s="519" t="s">
        <v>34</v>
      </c>
      <c r="B19" s="526">
        <v>17082.88</v>
      </c>
      <c r="C19" s="526">
        <v>18044.84</v>
      </c>
      <c r="D19" s="558">
        <v>20740.650000000001</v>
      </c>
      <c r="E19" s="532">
        <v>16458</v>
      </c>
      <c r="F19" s="526">
        <v>16458</v>
      </c>
      <c r="G19" s="526">
        <v>17058</v>
      </c>
      <c r="H19" s="522"/>
      <c r="I19" s="524"/>
      <c r="L19" s="537"/>
    </row>
    <row r="20" spans="1:12" ht="15" customHeight="1" x14ac:dyDescent="0.3">
      <c r="A20" s="519" t="s">
        <v>43</v>
      </c>
      <c r="B20" s="526">
        <v>4297.95</v>
      </c>
      <c r="C20" s="526">
        <v>4244.95</v>
      </c>
      <c r="D20" s="558">
        <v>4191.95</v>
      </c>
      <c r="E20" s="532">
        <v>4285.1875</v>
      </c>
      <c r="F20" s="526">
        <v>4285.1875</v>
      </c>
      <c r="G20" s="526">
        <v>4285.1875</v>
      </c>
      <c r="H20" s="522"/>
      <c r="I20" s="524"/>
      <c r="L20" s="537"/>
    </row>
    <row r="21" spans="1:12" ht="15" customHeight="1" x14ac:dyDescent="0.3">
      <c r="A21" s="519" t="s">
        <v>422</v>
      </c>
      <c r="B21" s="526">
        <v>5559.57</v>
      </c>
      <c r="C21" s="526">
        <v>10760.17</v>
      </c>
      <c r="D21" s="558">
        <v>5710.15</v>
      </c>
      <c r="E21" s="532">
        <v>2375</v>
      </c>
      <c r="F21" s="526">
        <v>0</v>
      </c>
      <c r="G21" s="526">
        <v>5650</v>
      </c>
      <c r="H21" s="522"/>
      <c r="I21" s="524"/>
    </row>
    <row r="22" spans="1:12" ht="15" customHeight="1" x14ac:dyDescent="0.3">
      <c r="A22" s="519" t="s">
        <v>56</v>
      </c>
      <c r="B22" s="526">
        <v>14637.59</v>
      </c>
      <c r="C22" s="526">
        <v>5441.1</v>
      </c>
      <c r="D22" s="558">
        <v>3885.86</v>
      </c>
      <c r="E22" s="532">
        <v>3713.35</v>
      </c>
      <c r="F22" s="526">
        <v>4313.3500000000004</v>
      </c>
      <c r="G22" s="526">
        <v>3113.25</v>
      </c>
      <c r="H22" s="522"/>
      <c r="I22" s="524"/>
    </row>
    <row r="23" spans="1:12" ht="15" customHeight="1" x14ac:dyDescent="0.3">
      <c r="A23" s="519" t="s">
        <v>470</v>
      </c>
      <c r="B23" s="526">
        <v>8137.86</v>
      </c>
      <c r="C23" s="526">
        <v>3414.38</v>
      </c>
      <c r="D23" s="558">
        <f>11612.07-1810</f>
        <v>9802.07</v>
      </c>
      <c r="E23" s="532">
        <v>11068.6875</v>
      </c>
      <c r="F23" s="526">
        <v>8478.6875</v>
      </c>
      <c r="G23" s="526">
        <v>8478.6875</v>
      </c>
      <c r="H23" s="522"/>
      <c r="I23" s="524"/>
    </row>
    <row r="24" spans="1:12" ht="15" customHeight="1" x14ac:dyDescent="0.3">
      <c r="A24" s="519" t="s">
        <v>471</v>
      </c>
      <c r="B24" s="526">
        <v>4678.09</v>
      </c>
      <c r="C24" s="526">
        <v>5628.26</v>
      </c>
      <c r="D24" s="558">
        <v>4686.3100000000004</v>
      </c>
      <c r="E24" s="532">
        <v>4333.3274999999994</v>
      </c>
      <c r="F24" s="526">
        <v>4333.3274999999994</v>
      </c>
      <c r="G24" s="526">
        <v>4333.3274999999994</v>
      </c>
      <c r="H24" s="522"/>
      <c r="I24" s="524"/>
    </row>
    <row r="25" spans="1:12" ht="15" customHeight="1" x14ac:dyDescent="0.3">
      <c r="A25" s="519" t="s">
        <v>93</v>
      </c>
      <c r="B25" s="526">
        <v>34369.120000000003</v>
      </c>
      <c r="C25" s="526">
        <v>36551.620000000003</v>
      </c>
      <c r="D25" s="558">
        <v>34929.24</v>
      </c>
      <c r="E25" s="532">
        <v>27033.75</v>
      </c>
      <c r="F25" s="526">
        <v>27033.75</v>
      </c>
      <c r="G25" s="526">
        <v>27033.75</v>
      </c>
      <c r="H25" s="522"/>
      <c r="I25" s="524"/>
    </row>
    <row r="26" spans="1:12" ht="15" customHeight="1" thickBot="1" x14ac:dyDescent="0.35">
      <c r="A26" s="519" t="s">
        <v>473</v>
      </c>
      <c r="B26" s="547">
        <v>-4920</v>
      </c>
      <c r="C26" s="547">
        <v>18207</v>
      </c>
      <c r="D26" s="560">
        <v>0</v>
      </c>
      <c r="E26" s="548">
        <v>0</v>
      </c>
      <c r="F26" s="547">
        <v>0</v>
      </c>
      <c r="G26" s="547">
        <v>0</v>
      </c>
      <c r="H26" s="522"/>
      <c r="I26" s="524"/>
    </row>
    <row r="27" spans="1:12" ht="15" customHeight="1" x14ac:dyDescent="0.3">
      <c r="A27" s="530" t="s">
        <v>467</v>
      </c>
      <c r="B27" s="549">
        <f>SUM(B16:B26)</f>
        <v>111401.13</v>
      </c>
      <c r="C27" s="549">
        <f t="shared" ref="C27:G27" si="2">SUM(C16:C26)</f>
        <v>110919.01000000001</v>
      </c>
      <c r="D27" s="563">
        <f t="shared" si="2"/>
        <v>86410.23</v>
      </c>
      <c r="E27" s="550">
        <f t="shared" si="2"/>
        <v>76642.302499999991</v>
      </c>
      <c r="F27" s="549">
        <f t="shared" si="2"/>
        <v>72277.302499999991</v>
      </c>
      <c r="G27" s="549">
        <f t="shared" si="2"/>
        <v>77327.202499999999</v>
      </c>
      <c r="H27" s="522"/>
      <c r="I27" s="524"/>
    </row>
    <row r="28" spans="1:12" ht="15" customHeight="1" x14ac:dyDescent="0.3">
      <c r="A28" s="517" t="s">
        <v>469</v>
      </c>
      <c r="B28" s="529">
        <f>+B15-B27</f>
        <v>-29653.089999999997</v>
      </c>
      <c r="C28" s="529">
        <f>+C15-C27</f>
        <v>105771.20000000001</v>
      </c>
      <c r="D28" s="564">
        <f>+D15-D27</f>
        <v>-45022.799999999996</v>
      </c>
      <c r="E28" s="534">
        <f t="shared" ref="E28:G28" si="3">+E15-E27</f>
        <v>104042.4975</v>
      </c>
      <c r="F28" s="529">
        <f t="shared" si="3"/>
        <v>-31646.502499999988</v>
      </c>
      <c r="G28" s="529">
        <f t="shared" si="3"/>
        <v>-36696.402499999997</v>
      </c>
      <c r="H28" s="522"/>
      <c r="I28" s="524"/>
    </row>
    <row r="29" spans="1:12" ht="15" customHeight="1" x14ac:dyDescent="0.3">
      <c r="A29" s="519" t="s">
        <v>468</v>
      </c>
      <c r="B29" s="529">
        <f t="shared" ref="B29:G29" si="4">+B7+B8+B28</f>
        <v>166125.72999999998</v>
      </c>
      <c r="C29" s="529">
        <f t="shared" si="4"/>
        <v>271896.93</v>
      </c>
      <c r="D29" s="564">
        <f t="shared" si="4"/>
        <v>226874.13</v>
      </c>
      <c r="E29" s="529">
        <f t="shared" si="4"/>
        <v>330916.6275</v>
      </c>
      <c r="F29" s="529">
        <f t="shared" si="4"/>
        <v>299270.125</v>
      </c>
      <c r="G29" s="529">
        <f t="shared" si="4"/>
        <v>262573.72250000003</v>
      </c>
      <c r="H29" s="522"/>
      <c r="I29" s="524"/>
    </row>
    <row r="30" spans="1:12" ht="15" customHeight="1" x14ac:dyDescent="0.3">
      <c r="B30" s="522"/>
      <c r="C30" s="522"/>
      <c r="D30" s="522"/>
      <c r="E30" s="522"/>
      <c r="F30" s="522"/>
      <c r="G30" s="522"/>
      <c r="H30" s="522"/>
      <c r="I30" s="523"/>
    </row>
    <row r="31" spans="1:12" ht="15" customHeight="1" x14ac:dyDescent="0.3">
      <c r="A31" s="517" t="s">
        <v>484</v>
      </c>
      <c r="B31" s="520">
        <v>166125.56</v>
      </c>
      <c r="C31" s="520">
        <v>271897.38</v>
      </c>
      <c r="D31" s="520">
        <v>226874.59</v>
      </c>
      <c r="E31" s="520"/>
      <c r="F31" s="520"/>
      <c r="G31" s="520"/>
      <c r="H31" s="520"/>
    </row>
    <row r="32" spans="1:12" ht="15" customHeight="1" x14ac:dyDescent="0.3">
      <c r="B32" s="520">
        <f>+B29-B31</f>
        <v>0.16999999998370185</v>
      </c>
      <c r="C32" s="520">
        <f t="shared" ref="C32:D32" si="5">+C29-C31</f>
        <v>-0.45000000001164153</v>
      </c>
      <c r="D32" s="520">
        <f t="shared" si="5"/>
        <v>-0.45999999999185093</v>
      </c>
      <c r="E32" s="520"/>
      <c r="F32" s="520"/>
      <c r="G32" s="520"/>
      <c r="H32" s="520"/>
    </row>
    <row r="33" spans="2:8" ht="15" customHeight="1" x14ac:dyDescent="0.3">
      <c r="B33" s="520"/>
      <c r="C33" s="520"/>
      <c r="D33" s="520"/>
      <c r="E33" s="520"/>
      <c r="F33" s="520"/>
      <c r="G33" s="520"/>
      <c r="H33" s="520"/>
    </row>
    <row r="34" spans="2:8" ht="15" customHeight="1" x14ac:dyDescent="0.3"/>
    <row r="35" spans="2:8" ht="15" customHeight="1" x14ac:dyDescent="0.3"/>
    <row r="36" spans="2:8" ht="15" customHeight="1" x14ac:dyDescent="0.3"/>
    <row r="37" spans="2:8" ht="15" customHeight="1" x14ac:dyDescent="0.3"/>
    <row r="38" spans="2:8" ht="15" customHeight="1" x14ac:dyDescent="0.3"/>
    <row r="39" spans="2:8" ht="15" customHeight="1" x14ac:dyDescent="0.3"/>
    <row r="40" spans="2:8" ht="15" customHeight="1" x14ac:dyDescent="0.3"/>
  </sheetData>
  <mergeCells count="3">
    <mergeCell ref="A1:G1"/>
    <mergeCell ref="A2:G2"/>
    <mergeCell ref="A3:G3"/>
  </mergeCells>
  <phoneticPr fontId="23" type="noConversion"/>
  <printOptions horizontalCentered="1"/>
  <pageMargins left="0.25" right="0.25" top="0.25" bottom="0.25" header="0" footer="0"/>
  <pageSetup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ED673-2C6F-43A4-BEAF-927317F27A9E}">
  <sheetPr codeName="Sheet13">
    <tabColor theme="7" tint="0.59999389629810485"/>
    <pageSetUpPr fitToPage="1"/>
  </sheetPr>
  <dimension ref="A1:T10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22" sqref="E22"/>
    </sheetView>
  </sheetViews>
  <sheetFormatPr defaultColWidth="9.109375" defaultRowHeight="14.4" x14ac:dyDescent="0.3"/>
  <cols>
    <col min="1" max="1" width="34.6640625" style="475" customWidth="1"/>
    <col min="2" max="7" width="10.44140625" style="105" bestFit="1" customWidth="1"/>
    <col min="8" max="8" width="10.109375" style="105" bestFit="1" customWidth="1"/>
    <col min="9" max="9" width="11" style="105" bestFit="1" customWidth="1"/>
    <col min="10" max="10" width="11" style="475" bestFit="1" customWidth="1"/>
    <col min="11" max="13" width="10.109375" style="475" bestFit="1" customWidth="1"/>
    <col min="14" max="14" width="11.6640625" style="475" bestFit="1" customWidth="1"/>
    <col min="15" max="15" width="29.33203125" style="7" bestFit="1" customWidth="1"/>
    <col min="16" max="16" width="12.77734375" style="482" customWidth="1"/>
    <col min="17" max="18" width="9.109375" style="482" customWidth="1"/>
    <col min="19" max="19" width="10.6640625" style="482" bestFit="1" customWidth="1"/>
    <col min="20" max="20" width="9.109375" style="482"/>
    <col min="21" max="16384" width="9.109375" style="475"/>
  </cols>
  <sheetData>
    <row r="1" spans="1:19" ht="15.6" x14ac:dyDescent="0.3">
      <c r="A1" s="584" t="s">
        <v>108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496"/>
    </row>
    <row r="2" spans="1:19" ht="15.6" x14ac:dyDescent="0.3">
      <c r="A2" s="584" t="s">
        <v>446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496"/>
    </row>
    <row r="3" spans="1:19" x14ac:dyDescent="0.3">
      <c r="A3" s="583" t="s">
        <v>444</v>
      </c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495"/>
    </row>
    <row r="4" spans="1:19" x14ac:dyDescent="0.3">
      <c r="B4" s="501" t="s">
        <v>451</v>
      </c>
      <c r="C4" s="501" t="s">
        <v>451</v>
      </c>
      <c r="D4" s="501" t="s">
        <v>451</v>
      </c>
      <c r="E4" s="501" t="s">
        <v>451</v>
      </c>
      <c r="F4" s="501" t="s">
        <v>451</v>
      </c>
      <c r="G4" s="501" t="s">
        <v>451</v>
      </c>
      <c r="H4" s="501" t="s">
        <v>451</v>
      </c>
      <c r="I4" s="501" t="s">
        <v>451</v>
      </c>
      <c r="J4" s="501" t="s">
        <v>451</v>
      </c>
      <c r="K4" s="498" t="s">
        <v>452</v>
      </c>
      <c r="L4" s="498" t="s">
        <v>452</v>
      </c>
      <c r="M4" s="498" t="s">
        <v>452</v>
      </c>
      <c r="S4" s="509" t="s">
        <v>453</v>
      </c>
    </row>
    <row r="5" spans="1:19" x14ac:dyDescent="0.3">
      <c r="A5" s="221"/>
      <c r="B5" s="502" t="s">
        <v>0</v>
      </c>
      <c r="C5" s="502" t="s">
        <v>1</v>
      </c>
      <c r="D5" s="502" t="s">
        <v>2</v>
      </c>
      <c r="E5" s="502" t="s">
        <v>3</v>
      </c>
      <c r="F5" s="502" t="s">
        <v>4</v>
      </c>
      <c r="G5" s="502" t="s">
        <v>5</v>
      </c>
      <c r="H5" s="502" t="s">
        <v>6</v>
      </c>
      <c r="I5" s="502" t="s">
        <v>7</v>
      </c>
      <c r="J5" s="502" t="s">
        <v>8</v>
      </c>
      <c r="K5" s="222" t="s">
        <v>9</v>
      </c>
      <c r="L5" s="222" t="s">
        <v>10</v>
      </c>
      <c r="M5" s="222" t="s">
        <v>11</v>
      </c>
      <c r="N5" s="222" t="s">
        <v>12</v>
      </c>
      <c r="O5" s="223" t="s">
        <v>349</v>
      </c>
      <c r="S5" s="515">
        <v>43890</v>
      </c>
    </row>
    <row r="6" spans="1:19" x14ac:dyDescent="0.3">
      <c r="A6" s="1" t="s">
        <v>13</v>
      </c>
      <c r="B6" s="503"/>
      <c r="C6" s="503"/>
      <c r="D6" s="503"/>
      <c r="E6" s="503"/>
      <c r="F6" s="503"/>
      <c r="G6" s="503"/>
      <c r="H6" s="503"/>
      <c r="I6" s="503"/>
      <c r="J6" s="503"/>
      <c r="K6" s="2"/>
      <c r="L6" s="2"/>
      <c r="M6" s="2"/>
      <c r="N6" s="2"/>
    </row>
    <row r="7" spans="1:19" x14ac:dyDescent="0.3">
      <c r="A7" s="1" t="s">
        <v>14</v>
      </c>
      <c r="B7" s="504">
        <f t="shared" ref="B7:M7" si="0">78541.42</f>
        <v>78541.42</v>
      </c>
      <c r="C7" s="504">
        <f t="shared" si="0"/>
        <v>78541.42</v>
      </c>
      <c r="D7" s="504">
        <f t="shared" si="0"/>
        <v>78541.42</v>
      </c>
      <c r="E7" s="504">
        <f t="shared" si="0"/>
        <v>78541.42</v>
      </c>
      <c r="F7" s="504">
        <f t="shared" si="0"/>
        <v>78541.42</v>
      </c>
      <c r="G7" s="504">
        <f t="shared" si="0"/>
        <v>78541.42</v>
      </c>
      <c r="H7" s="504">
        <f t="shared" si="0"/>
        <v>78541.42</v>
      </c>
      <c r="I7" s="504">
        <f t="shared" si="0"/>
        <v>78541.42</v>
      </c>
      <c r="J7" s="504">
        <f t="shared" si="0"/>
        <v>78541.42</v>
      </c>
      <c r="K7" s="127">
        <f t="shared" si="0"/>
        <v>78541.42</v>
      </c>
      <c r="L7" s="127">
        <f t="shared" si="0"/>
        <v>78541.42</v>
      </c>
      <c r="M7" s="127">
        <f t="shared" si="0"/>
        <v>78541.42</v>
      </c>
      <c r="N7" s="127">
        <f t="shared" ref="N7:N16" si="1">(((((((((((B7)+(C7))+(D7))+(E7))+(F7))+(G7))+(H7))+(I7))+(J7))+(K7))+(L7))+(M7)</f>
        <v>942497.04000000015</v>
      </c>
      <c r="O7" s="7" t="s">
        <v>350</v>
      </c>
      <c r="S7" s="510">
        <f>SUM(B7:I7)</f>
        <v>628331.36</v>
      </c>
    </row>
    <row r="8" spans="1:19" x14ac:dyDescent="0.3">
      <c r="A8" s="1" t="s">
        <v>15</v>
      </c>
      <c r="B8" s="503"/>
      <c r="C8" s="503"/>
      <c r="D8" s="503"/>
      <c r="E8" s="504">
        <f>66168.41</f>
        <v>66168.41</v>
      </c>
      <c r="F8" s="503"/>
      <c r="G8" s="503"/>
      <c r="H8" s="508">
        <v>-59567.85</v>
      </c>
      <c r="I8" s="503"/>
      <c r="J8" s="503"/>
      <c r="K8" s="2"/>
      <c r="L8" s="2"/>
      <c r="M8" s="2"/>
      <c r="N8" s="3">
        <f t="shared" si="1"/>
        <v>6600.5600000000049</v>
      </c>
      <c r="S8" s="510">
        <f t="shared" ref="S8:S73" si="2">SUM(B8:I8)</f>
        <v>6600.5600000000049</v>
      </c>
    </row>
    <row r="9" spans="1:19" x14ac:dyDescent="0.3">
      <c r="A9" s="1" t="s">
        <v>16</v>
      </c>
      <c r="B9" s="504">
        <f t="shared" ref="B9:M9" si="3">40630.8</f>
        <v>40630.800000000003</v>
      </c>
      <c r="C9" s="504">
        <f t="shared" si="3"/>
        <v>40630.800000000003</v>
      </c>
      <c r="D9" s="504">
        <f t="shared" si="3"/>
        <v>40630.800000000003</v>
      </c>
      <c r="E9" s="504">
        <f t="shared" si="3"/>
        <v>40630.800000000003</v>
      </c>
      <c r="F9" s="504">
        <f t="shared" si="3"/>
        <v>40630.800000000003</v>
      </c>
      <c r="G9" s="504">
        <f t="shared" si="3"/>
        <v>40630.800000000003</v>
      </c>
      <c r="H9" s="504">
        <f t="shared" si="3"/>
        <v>40630.800000000003</v>
      </c>
      <c r="I9" s="504">
        <f t="shared" si="3"/>
        <v>40630.800000000003</v>
      </c>
      <c r="J9" s="504">
        <f t="shared" si="3"/>
        <v>40630.800000000003</v>
      </c>
      <c r="K9" s="127">
        <f t="shared" si="3"/>
        <v>40630.800000000003</v>
      </c>
      <c r="L9" s="127">
        <f t="shared" si="3"/>
        <v>40630.800000000003</v>
      </c>
      <c r="M9" s="127">
        <f t="shared" si="3"/>
        <v>40630.800000000003</v>
      </c>
      <c r="N9" s="127">
        <f t="shared" si="1"/>
        <v>487569.59999999992</v>
      </c>
      <c r="O9" s="7" t="s">
        <v>350</v>
      </c>
      <c r="S9" s="510">
        <f t="shared" si="2"/>
        <v>325046.39999999997</v>
      </c>
    </row>
    <row r="10" spans="1:19" x14ac:dyDescent="0.3">
      <c r="A10" s="1" t="s">
        <v>17</v>
      </c>
      <c r="B10" s="503"/>
      <c r="C10" s="503"/>
      <c r="D10" s="503"/>
      <c r="E10" s="503"/>
      <c r="F10" s="503"/>
      <c r="G10" s="503"/>
      <c r="H10" s="503"/>
      <c r="I10" s="503">
        <v>2000</v>
      </c>
      <c r="J10" s="503"/>
      <c r="K10" s="2"/>
      <c r="L10" s="2"/>
      <c r="M10" s="2"/>
      <c r="N10" s="3">
        <f t="shared" si="1"/>
        <v>2000</v>
      </c>
      <c r="O10" s="481" t="s">
        <v>436</v>
      </c>
      <c r="S10" s="510">
        <f t="shared" si="2"/>
        <v>2000</v>
      </c>
    </row>
    <row r="11" spans="1:19" x14ac:dyDescent="0.3">
      <c r="A11" s="1" t="s">
        <v>18</v>
      </c>
      <c r="B11" s="503"/>
      <c r="C11" s="503"/>
      <c r="D11" s="504"/>
      <c r="E11" s="503"/>
      <c r="F11" s="503"/>
      <c r="G11" s="503"/>
      <c r="H11" s="503"/>
      <c r="I11" s="503"/>
      <c r="J11" s="503"/>
      <c r="K11" s="2"/>
      <c r="L11" s="2"/>
      <c r="M11" s="2"/>
      <c r="N11" s="3">
        <f t="shared" si="1"/>
        <v>0</v>
      </c>
      <c r="S11" s="510">
        <f t="shared" si="2"/>
        <v>0</v>
      </c>
    </row>
    <row r="12" spans="1:19" x14ac:dyDescent="0.3">
      <c r="A12" s="1" t="s">
        <v>19</v>
      </c>
      <c r="B12" s="503"/>
      <c r="C12" s="504">
        <f>1350</f>
        <v>1350</v>
      </c>
      <c r="D12" s="504">
        <f>500</f>
        <v>500</v>
      </c>
      <c r="E12" s="503"/>
      <c r="F12" s="504">
        <f>850</f>
        <v>850</v>
      </c>
      <c r="G12" s="503"/>
      <c r="H12" s="503"/>
      <c r="I12" s="503"/>
      <c r="J12" s="503"/>
      <c r="K12" s="2"/>
      <c r="L12" s="2"/>
      <c r="M12" s="2"/>
      <c r="N12" s="3">
        <f t="shared" si="1"/>
        <v>2700</v>
      </c>
      <c r="S12" s="510">
        <f t="shared" si="2"/>
        <v>2700</v>
      </c>
    </row>
    <row r="13" spans="1:19" x14ac:dyDescent="0.3">
      <c r="A13" s="1" t="s">
        <v>20</v>
      </c>
      <c r="B13" s="504">
        <f>31.77</f>
        <v>31.77</v>
      </c>
      <c r="C13" s="504">
        <f>24.2</f>
        <v>24.2</v>
      </c>
      <c r="D13" s="504">
        <f>17.23</f>
        <v>17.23</v>
      </c>
      <c r="E13" s="504">
        <f>21.93</f>
        <v>21.93</v>
      </c>
      <c r="F13" s="504">
        <f>15.4</f>
        <v>15.4</v>
      </c>
      <c r="G13" s="504">
        <f>28.69</f>
        <v>28.69</v>
      </c>
      <c r="H13" s="503">
        <v>22.77</v>
      </c>
      <c r="I13" s="503">
        <v>13.65</v>
      </c>
      <c r="J13" s="503">
        <v>9.92</v>
      </c>
      <c r="K13" s="2"/>
      <c r="L13" s="2"/>
      <c r="M13" s="2"/>
      <c r="N13" s="3">
        <f t="shared" si="1"/>
        <v>185.56</v>
      </c>
      <c r="S13" s="510">
        <f t="shared" si="2"/>
        <v>175.64000000000001</v>
      </c>
    </row>
    <row r="14" spans="1:19" x14ac:dyDescent="0.3">
      <c r="A14" s="1" t="s">
        <v>21</v>
      </c>
      <c r="B14" s="505">
        <f t="shared" ref="B14:M14" si="4">(((B10)+(B11))+(B12))+(B13)</f>
        <v>31.77</v>
      </c>
      <c r="C14" s="505">
        <f t="shared" si="4"/>
        <v>1374.2</v>
      </c>
      <c r="D14" s="505">
        <f t="shared" si="4"/>
        <v>517.23</v>
      </c>
      <c r="E14" s="505">
        <f t="shared" si="4"/>
        <v>21.93</v>
      </c>
      <c r="F14" s="505">
        <f t="shared" si="4"/>
        <v>865.4</v>
      </c>
      <c r="G14" s="505">
        <f t="shared" si="4"/>
        <v>28.69</v>
      </c>
      <c r="H14" s="505">
        <f t="shared" si="4"/>
        <v>22.77</v>
      </c>
      <c r="I14" s="505">
        <f>(((I10)+(I11))+(I12))+(I13)</f>
        <v>2013.65</v>
      </c>
      <c r="J14" s="505">
        <f t="shared" si="4"/>
        <v>9.92</v>
      </c>
      <c r="K14" s="4">
        <f t="shared" si="4"/>
        <v>0</v>
      </c>
      <c r="L14" s="4">
        <f t="shared" si="4"/>
        <v>0</v>
      </c>
      <c r="M14" s="4">
        <f t="shared" si="4"/>
        <v>0</v>
      </c>
      <c r="N14" s="4">
        <f t="shared" si="1"/>
        <v>4885.5600000000004</v>
      </c>
      <c r="S14" s="510">
        <f t="shared" si="2"/>
        <v>4875.6400000000003</v>
      </c>
    </row>
    <row r="15" spans="1:19" x14ac:dyDescent="0.3">
      <c r="A15" s="1" t="s">
        <v>22</v>
      </c>
      <c r="B15" s="505">
        <f t="shared" ref="B15:M15" si="5">(((B7)+(B8))+(B9))+(B14)</f>
        <v>119203.99</v>
      </c>
      <c r="C15" s="505">
        <f t="shared" si="5"/>
        <v>120546.42</v>
      </c>
      <c r="D15" s="505">
        <f t="shared" si="5"/>
        <v>119689.45</v>
      </c>
      <c r="E15" s="505">
        <f t="shared" si="5"/>
        <v>185362.56</v>
      </c>
      <c r="F15" s="505">
        <f t="shared" si="5"/>
        <v>120037.62</v>
      </c>
      <c r="G15" s="505">
        <f t="shared" si="5"/>
        <v>119200.91</v>
      </c>
      <c r="H15" s="505">
        <f t="shared" si="5"/>
        <v>59627.14</v>
      </c>
      <c r="I15" s="505">
        <f t="shared" si="5"/>
        <v>121185.87</v>
      </c>
      <c r="J15" s="505">
        <f t="shared" si="5"/>
        <v>119182.14</v>
      </c>
      <c r="K15" s="4">
        <f t="shared" si="5"/>
        <v>119172.22</v>
      </c>
      <c r="L15" s="4">
        <f t="shared" si="5"/>
        <v>119172.22</v>
      </c>
      <c r="M15" s="4">
        <f t="shared" si="5"/>
        <v>119172.22</v>
      </c>
      <c r="N15" s="4">
        <f t="shared" si="1"/>
        <v>1441552.7599999998</v>
      </c>
      <c r="S15" s="510">
        <f t="shared" si="2"/>
        <v>964853.96</v>
      </c>
    </row>
    <row r="16" spans="1:19" x14ac:dyDescent="0.3">
      <c r="A16" s="1" t="s">
        <v>23</v>
      </c>
      <c r="B16" s="505">
        <f t="shared" ref="B16:M16" si="6">(B15)-(0)</f>
        <v>119203.99</v>
      </c>
      <c r="C16" s="505">
        <f t="shared" si="6"/>
        <v>120546.42</v>
      </c>
      <c r="D16" s="505">
        <f t="shared" si="6"/>
        <v>119689.45</v>
      </c>
      <c r="E16" s="505">
        <f t="shared" si="6"/>
        <v>185362.56</v>
      </c>
      <c r="F16" s="505">
        <f t="shared" si="6"/>
        <v>120037.62</v>
      </c>
      <c r="G16" s="505">
        <f t="shared" si="6"/>
        <v>119200.91</v>
      </c>
      <c r="H16" s="505">
        <f t="shared" si="6"/>
        <v>59627.14</v>
      </c>
      <c r="I16" s="505">
        <f t="shared" si="6"/>
        <v>121185.87</v>
      </c>
      <c r="J16" s="505">
        <f t="shared" si="6"/>
        <v>119182.14</v>
      </c>
      <c r="K16" s="4">
        <f t="shared" si="6"/>
        <v>119172.22</v>
      </c>
      <c r="L16" s="4">
        <f t="shared" si="6"/>
        <v>119172.22</v>
      </c>
      <c r="M16" s="4">
        <f t="shared" si="6"/>
        <v>119172.22</v>
      </c>
      <c r="N16" s="4">
        <f t="shared" si="1"/>
        <v>1441552.7599999998</v>
      </c>
      <c r="S16" s="510">
        <f t="shared" si="2"/>
        <v>964853.96</v>
      </c>
    </row>
    <row r="17" spans="1:19" x14ac:dyDescent="0.3">
      <c r="A17" s="1" t="s">
        <v>24</v>
      </c>
      <c r="B17" s="503"/>
      <c r="C17" s="503"/>
      <c r="D17" s="503"/>
      <c r="E17" s="503"/>
      <c r="F17" s="503"/>
      <c r="G17" s="503"/>
      <c r="H17" s="503"/>
      <c r="I17" s="503"/>
      <c r="J17" s="503"/>
      <c r="K17" s="2"/>
      <c r="L17" s="2"/>
      <c r="M17" s="2"/>
      <c r="N17" s="2"/>
      <c r="S17" s="510">
        <f t="shared" si="2"/>
        <v>0</v>
      </c>
    </row>
    <row r="18" spans="1:19" x14ac:dyDescent="0.3">
      <c r="A18" s="1" t="s">
        <v>25</v>
      </c>
      <c r="B18" s="503"/>
      <c r="C18" s="503"/>
      <c r="D18" s="503"/>
      <c r="E18" s="503"/>
      <c r="F18" s="503"/>
      <c r="G18" s="503"/>
      <c r="H18" s="503"/>
      <c r="I18" s="503"/>
      <c r="J18" s="503"/>
      <c r="K18" s="2"/>
      <c r="L18" s="2"/>
      <c r="M18" s="2"/>
      <c r="N18" s="3">
        <f t="shared" ref="N18:N83" si="7">(((((((((((B18)+(C18))+(D18))+(E18))+(F18))+(G18))+(H18))+(I18))+(J18))+(K18))+(L18))+(M18)</f>
        <v>0</v>
      </c>
      <c r="S18" s="510">
        <f t="shared" si="2"/>
        <v>0</v>
      </c>
    </row>
    <row r="19" spans="1:19" x14ac:dyDescent="0.3">
      <c r="A19" s="1" t="s">
        <v>26</v>
      </c>
      <c r="B19" s="503"/>
      <c r="C19" s="503"/>
      <c r="D19" s="503"/>
      <c r="E19" s="503"/>
      <c r="F19" s="503"/>
      <c r="G19" s="503"/>
      <c r="H19" s="503"/>
      <c r="I19" s="503"/>
      <c r="J19" s="503"/>
      <c r="K19" s="2"/>
      <c r="L19" s="2"/>
      <c r="M19" s="2"/>
      <c r="N19" s="3">
        <f t="shared" si="7"/>
        <v>0</v>
      </c>
      <c r="S19" s="510">
        <f t="shared" si="2"/>
        <v>0</v>
      </c>
    </row>
    <row r="20" spans="1:19" x14ac:dyDescent="0.3">
      <c r="A20" s="1" t="s">
        <v>27</v>
      </c>
      <c r="B20" s="504">
        <f>5752.66</f>
        <v>5752.66</v>
      </c>
      <c r="C20" s="504">
        <f>98839.1</f>
        <v>98839.1</v>
      </c>
      <c r="D20" s="504">
        <f>42619.08</f>
        <v>42619.08</v>
      </c>
      <c r="E20" s="504">
        <f>44361.54</f>
        <v>44361.54</v>
      </c>
      <c r="F20" s="504">
        <f>49826.45</f>
        <v>49826.45</v>
      </c>
      <c r="G20" s="504">
        <v>14248.3</v>
      </c>
      <c r="H20" s="504">
        <v>5906.91</v>
      </c>
      <c r="I20" s="504">
        <v>1250</v>
      </c>
      <c r="J20" s="503">
        <v>625</v>
      </c>
      <c r="K20" s="2">
        <f>'BB Example 3 _ Cash Flows'!AA116</f>
        <v>7375</v>
      </c>
      <c r="L20" s="2">
        <f>'BB Example 3 _ Cash Flows'!AA144</f>
        <v>7375</v>
      </c>
      <c r="M20" s="2">
        <f>'BB Example 3 _ Cash Flows'!AA174</f>
        <v>7375</v>
      </c>
      <c r="N20" s="3">
        <f t="shared" si="7"/>
        <v>285554.04000000004</v>
      </c>
      <c r="O20" s="481" t="s">
        <v>405</v>
      </c>
      <c r="S20" s="510">
        <f t="shared" si="2"/>
        <v>262804.04000000004</v>
      </c>
    </row>
    <row r="21" spans="1:19" x14ac:dyDescent="0.3">
      <c r="A21" s="1" t="s">
        <v>28</v>
      </c>
      <c r="B21" s="503"/>
      <c r="C21" s="503"/>
      <c r="D21" s="504">
        <f>9085</f>
        <v>9085</v>
      </c>
      <c r="E21" s="503"/>
      <c r="F21" s="503"/>
      <c r="G21" s="503"/>
      <c r="H21" s="503"/>
      <c r="I21" s="503"/>
      <c r="J21" s="503"/>
      <c r="K21" s="126"/>
      <c r="L21" s="126"/>
      <c r="M21" s="126"/>
      <c r="N21" s="3">
        <f t="shared" si="7"/>
        <v>9085</v>
      </c>
      <c r="O21" s="481" t="s">
        <v>421</v>
      </c>
      <c r="S21" s="510">
        <f t="shared" si="2"/>
        <v>9085</v>
      </c>
    </row>
    <row r="22" spans="1:19" x14ac:dyDescent="0.3">
      <c r="A22" s="1" t="s">
        <v>29</v>
      </c>
      <c r="B22" s="503"/>
      <c r="C22" s="503"/>
      <c r="D22" s="503"/>
      <c r="E22" s="503"/>
      <c r="F22" s="503"/>
      <c r="G22" s="504">
        <f>1500</f>
        <v>1500</v>
      </c>
      <c r="H22" s="503"/>
      <c r="I22" s="504">
        <v>1750</v>
      </c>
      <c r="J22" s="503">
        <v>339</v>
      </c>
      <c r="K22" s="126"/>
      <c r="L22" s="126"/>
      <c r="M22" s="126"/>
      <c r="N22" s="3">
        <f t="shared" si="7"/>
        <v>3589</v>
      </c>
      <c r="S22" s="510">
        <f t="shared" si="2"/>
        <v>3250</v>
      </c>
    </row>
    <row r="23" spans="1:19" x14ac:dyDescent="0.3">
      <c r="A23" s="1" t="s">
        <v>30</v>
      </c>
      <c r="B23" s="503"/>
      <c r="C23" s="504">
        <f>5060</f>
        <v>5060</v>
      </c>
      <c r="D23" s="503"/>
      <c r="E23" s="503"/>
      <c r="F23" s="503"/>
      <c r="G23" s="503"/>
      <c r="H23" s="503"/>
      <c r="I23" s="503"/>
      <c r="J23" s="503"/>
      <c r="K23" s="126"/>
      <c r="L23" s="126"/>
      <c r="M23" s="126"/>
      <c r="N23" s="3">
        <f t="shared" si="7"/>
        <v>5060</v>
      </c>
      <c r="S23" s="510">
        <f t="shared" si="2"/>
        <v>5060</v>
      </c>
    </row>
    <row r="24" spans="1:19" x14ac:dyDescent="0.3">
      <c r="A24" s="1" t="s">
        <v>31</v>
      </c>
      <c r="B24" s="504">
        <f>146.72</f>
        <v>146.72</v>
      </c>
      <c r="C24" s="503"/>
      <c r="D24" s="504">
        <f>9243</f>
        <v>9243</v>
      </c>
      <c r="E24" s="504">
        <f>7883.35</f>
        <v>7883.35</v>
      </c>
      <c r="F24" s="504">
        <f>216</f>
        <v>216</v>
      </c>
      <c r="G24" s="504">
        <f>809.77</f>
        <v>809.77</v>
      </c>
      <c r="H24" s="503"/>
      <c r="I24" s="503">
        <v>1219.78</v>
      </c>
      <c r="J24" s="503">
        <v>1500</v>
      </c>
      <c r="K24" s="126"/>
      <c r="L24" s="126"/>
      <c r="M24" s="126"/>
      <c r="N24" s="3">
        <f t="shared" si="7"/>
        <v>21018.62</v>
      </c>
      <c r="S24" s="510">
        <f t="shared" si="2"/>
        <v>19518.62</v>
      </c>
    </row>
    <row r="25" spans="1:19" x14ac:dyDescent="0.3">
      <c r="A25" s="1" t="s">
        <v>32</v>
      </c>
      <c r="B25" s="503"/>
      <c r="C25" s="503"/>
      <c r="D25" s="503"/>
      <c r="E25" s="504">
        <f>2100</f>
        <v>2100</v>
      </c>
      <c r="F25" s="504">
        <f>1298</f>
        <v>1298</v>
      </c>
      <c r="G25" s="503"/>
      <c r="H25" s="503"/>
      <c r="I25" s="503"/>
      <c r="J25" s="503"/>
      <c r="K25" s="126"/>
      <c r="L25" s="126"/>
      <c r="M25" s="126"/>
      <c r="N25" s="3">
        <f t="shared" si="7"/>
        <v>3398</v>
      </c>
      <c r="S25" s="510">
        <f t="shared" si="2"/>
        <v>3398</v>
      </c>
    </row>
    <row r="26" spans="1:19" x14ac:dyDescent="0.3">
      <c r="A26" s="1" t="s">
        <v>33</v>
      </c>
      <c r="B26" s="505">
        <f t="shared" ref="B26:M26" si="8">((((((B19)+(B20))+(B21))+(B22))+(B23))+(B24))+(B25)</f>
        <v>5899.38</v>
      </c>
      <c r="C26" s="505">
        <f t="shared" si="8"/>
        <v>103899.1</v>
      </c>
      <c r="D26" s="505">
        <f t="shared" si="8"/>
        <v>60947.08</v>
      </c>
      <c r="E26" s="505">
        <f t="shared" si="8"/>
        <v>54344.89</v>
      </c>
      <c r="F26" s="505">
        <f t="shared" si="8"/>
        <v>51340.45</v>
      </c>
      <c r="G26" s="505">
        <f t="shared" si="8"/>
        <v>16558.07</v>
      </c>
      <c r="H26" s="505">
        <f t="shared" si="8"/>
        <v>5906.91</v>
      </c>
      <c r="I26" s="505">
        <f t="shared" si="8"/>
        <v>4219.78</v>
      </c>
      <c r="J26" s="505">
        <f t="shared" si="8"/>
        <v>2464</v>
      </c>
      <c r="K26" s="4">
        <f t="shared" si="8"/>
        <v>7375</v>
      </c>
      <c r="L26" s="4">
        <f t="shared" si="8"/>
        <v>7375</v>
      </c>
      <c r="M26" s="4">
        <f t="shared" si="8"/>
        <v>7375</v>
      </c>
      <c r="N26" s="4">
        <f t="shared" si="7"/>
        <v>327704.66000000003</v>
      </c>
      <c r="S26" s="510">
        <f t="shared" si="2"/>
        <v>303115.66000000003</v>
      </c>
    </row>
    <row r="27" spans="1:19" x14ac:dyDescent="0.3">
      <c r="A27" s="1" t="s">
        <v>34</v>
      </c>
      <c r="B27" s="503"/>
      <c r="C27" s="503"/>
      <c r="D27" s="503"/>
      <c r="E27" s="503"/>
      <c r="F27" s="503"/>
      <c r="G27" s="503"/>
      <c r="H27" s="503"/>
      <c r="I27" s="503"/>
      <c r="J27" s="503"/>
      <c r="K27" s="2"/>
      <c r="L27" s="2"/>
      <c r="M27" s="2"/>
      <c r="N27" s="3">
        <f t="shared" si="7"/>
        <v>0</v>
      </c>
      <c r="S27" s="510">
        <f t="shared" si="2"/>
        <v>0</v>
      </c>
    </row>
    <row r="28" spans="1:19" x14ac:dyDescent="0.3">
      <c r="A28" s="1" t="s">
        <v>35</v>
      </c>
      <c r="B28" s="504">
        <f>7500</f>
        <v>7500</v>
      </c>
      <c r="C28" s="504">
        <f>7500</f>
        <v>7500</v>
      </c>
      <c r="D28" s="504">
        <f>7500</f>
        <v>7500</v>
      </c>
      <c r="E28" s="504">
        <f>7500</f>
        <v>7500</v>
      </c>
      <c r="F28" s="504">
        <f>7500</f>
        <v>7500</v>
      </c>
      <c r="G28" s="504">
        <f>7500</f>
        <v>7500</v>
      </c>
      <c r="H28" s="504">
        <f>7500</f>
        <v>7500</v>
      </c>
      <c r="I28" s="503">
        <f>'Example 1 _ Cash Flows'!AB51</f>
        <v>7500</v>
      </c>
      <c r="J28" s="503">
        <f>'Example 1 _ Cash Flows'!AB83</f>
        <v>7500</v>
      </c>
      <c r="K28" s="2">
        <f>'Example 1 _ Cash Flows'!AB112</f>
        <v>7500</v>
      </c>
      <c r="L28" s="2">
        <f>'Example 1 _ Cash Flows'!AB138</f>
        <v>7500</v>
      </c>
      <c r="M28" s="2">
        <f>SUM('Mid Year Budget _ Cash Flows '!AB189)</f>
        <v>8100</v>
      </c>
      <c r="N28" s="3">
        <f t="shared" si="7"/>
        <v>90600</v>
      </c>
      <c r="O28" s="482" t="s">
        <v>448</v>
      </c>
      <c r="S28" s="510">
        <f t="shared" si="2"/>
        <v>60000</v>
      </c>
    </row>
    <row r="29" spans="1:19" x14ac:dyDescent="0.3">
      <c r="A29" s="1" t="s">
        <v>36</v>
      </c>
      <c r="B29" s="504">
        <f>8333</f>
        <v>8333</v>
      </c>
      <c r="C29" s="504">
        <f>8333</f>
        <v>8333</v>
      </c>
      <c r="D29" s="504">
        <f>8333</f>
        <v>8333</v>
      </c>
      <c r="E29" s="504">
        <f>8333</f>
        <v>8333</v>
      </c>
      <c r="F29" s="504">
        <f>8333</f>
        <v>8333</v>
      </c>
      <c r="G29" s="504">
        <f>8479.22</f>
        <v>8479.2199999999993</v>
      </c>
      <c r="H29" s="504">
        <f>8333</f>
        <v>8333</v>
      </c>
      <c r="I29" s="503">
        <f>'Example 1 _ Cash Flows'!AE51</f>
        <v>8333</v>
      </c>
      <c r="J29" s="503">
        <f>'Example 1 _ Cash Flows'!AE83</f>
        <v>8333</v>
      </c>
      <c r="K29" s="2">
        <f>'Example 1 _ Cash Flows'!AE112</f>
        <v>8333</v>
      </c>
      <c r="L29" s="2">
        <f>'Example 1 _ Cash Flows'!AE138</f>
        <v>8333</v>
      </c>
      <c r="M29" s="2">
        <f>'Example 1 _ Cash Flows'!AE166</f>
        <v>8333</v>
      </c>
      <c r="N29" s="3">
        <f t="shared" si="7"/>
        <v>100142.22</v>
      </c>
      <c r="O29" s="482" t="s">
        <v>449</v>
      </c>
      <c r="S29" s="510">
        <f t="shared" si="2"/>
        <v>66810.22</v>
      </c>
    </row>
    <row r="30" spans="1:19" x14ac:dyDescent="0.3">
      <c r="A30" s="1" t="s">
        <v>37</v>
      </c>
      <c r="B30" s="504">
        <f>451.66</f>
        <v>451.66</v>
      </c>
      <c r="C30" s="504">
        <f>558.8</f>
        <v>558.79999999999995</v>
      </c>
      <c r="D30" s="504">
        <f>508.52</f>
        <v>508.52</v>
      </c>
      <c r="E30" s="504">
        <f>572.5</f>
        <v>572.5</v>
      </c>
      <c r="F30" s="504">
        <f>572.5</f>
        <v>572.5</v>
      </c>
      <c r="G30" s="504">
        <f>503.66</f>
        <v>503.66</v>
      </c>
      <c r="H30" s="503">
        <v>670.06</v>
      </c>
      <c r="I30" s="503">
        <v>572.85</v>
      </c>
      <c r="J30" s="503">
        <v>120</v>
      </c>
      <c r="K30" s="2">
        <f>'Example 1 _ Cash Flows'!AN112</f>
        <v>625</v>
      </c>
      <c r="L30" s="2">
        <f>'Example 1 _ Cash Flows'!AN138</f>
        <v>625</v>
      </c>
      <c r="M30" s="2">
        <f>'Example 1 _ Cash Flows'!AN166</f>
        <v>625</v>
      </c>
      <c r="N30" s="3">
        <f t="shared" si="7"/>
        <v>6405.55</v>
      </c>
      <c r="S30" s="510">
        <f t="shared" si="2"/>
        <v>4410.55</v>
      </c>
    </row>
    <row r="31" spans="1:19" x14ac:dyDescent="0.3">
      <c r="A31" s="1" t="s">
        <v>38</v>
      </c>
      <c r="B31" s="503"/>
      <c r="C31" s="504">
        <f>25.5</f>
        <v>25.5</v>
      </c>
      <c r="D31" s="504">
        <f>500</f>
        <v>500</v>
      </c>
      <c r="E31" s="503"/>
      <c r="F31" s="504">
        <f>746</f>
        <v>746</v>
      </c>
      <c r="G31" s="503"/>
      <c r="H31" s="503">
        <v>716.4</v>
      </c>
      <c r="I31" s="503"/>
      <c r="J31" s="503"/>
      <c r="K31" s="126"/>
      <c r="L31" s="126"/>
      <c r="M31" s="126"/>
      <c r="N31" s="3">
        <f t="shared" si="7"/>
        <v>1987.9</v>
      </c>
      <c r="S31" s="510">
        <f t="shared" si="2"/>
        <v>1987.9</v>
      </c>
    </row>
    <row r="32" spans="1:19" x14ac:dyDescent="0.3">
      <c r="A32" s="1" t="s">
        <v>39</v>
      </c>
      <c r="B32" s="504">
        <f>995</f>
        <v>995</v>
      </c>
      <c r="C32" s="503"/>
      <c r="D32" s="503"/>
      <c r="E32" s="503"/>
      <c r="F32" s="503"/>
      <c r="G32" s="503"/>
      <c r="H32" s="503"/>
      <c r="I32" s="503"/>
      <c r="J32" s="503">
        <v>2604.14</v>
      </c>
      <c r="K32" s="126"/>
      <c r="L32" s="126"/>
      <c r="M32" s="126"/>
      <c r="N32" s="3">
        <f t="shared" si="7"/>
        <v>3599.14</v>
      </c>
      <c r="O32" s="481" t="s">
        <v>443</v>
      </c>
      <c r="S32" s="510">
        <f t="shared" si="2"/>
        <v>995</v>
      </c>
    </row>
    <row r="33" spans="1:20" x14ac:dyDescent="0.3">
      <c r="A33" s="1" t="s">
        <v>40</v>
      </c>
      <c r="B33" s="504">
        <f>544.28</f>
        <v>544.28</v>
      </c>
      <c r="C33" s="503"/>
      <c r="D33" s="504">
        <f>1851.65</f>
        <v>1851.65</v>
      </c>
      <c r="E33" s="504">
        <f>1116.66</f>
        <v>1116.6600000000001</v>
      </c>
      <c r="F33" s="504">
        <f>42.84</f>
        <v>42.84</v>
      </c>
      <c r="G33" s="503"/>
      <c r="H33" s="503">
        <v>757.3</v>
      </c>
      <c r="I33" s="503"/>
      <c r="J33" s="503"/>
      <c r="K33" s="126"/>
      <c r="L33" s="126"/>
      <c r="M33" s="126"/>
      <c r="N33" s="3">
        <f t="shared" si="7"/>
        <v>4312.7300000000005</v>
      </c>
      <c r="S33" s="510">
        <f t="shared" si="2"/>
        <v>4312.7300000000005</v>
      </c>
    </row>
    <row r="34" spans="1:20" x14ac:dyDescent="0.3">
      <c r="A34" s="1" t="s">
        <v>41</v>
      </c>
      <c r="B34" s="504">
        <f>213.97</f>
        <v>213.97</v>
      </c>
      <c r="C34" s="504">
        <f>0</f>
        <v>0</v>
      </c>
      <c r="D34" s="504">
        <f>399.06</f>
        <v>399.06</v>
      </c>
      <c r="E34" s="504">
        <f>294.16</f>
        <v>294.16000000000003</v>
      </c>
      <c r="F34" s="504">
        <f>110</f>
        <v>110</v>
      </c>
      <c r="G34" s="503"/>
      <c r="H34" s="503">
        <v>913.08</v>
      </c>
      <c r="I34" s="503"/>
      <c r="J34" s="503">
        <v>1485.66</v>
      </c>
      <c r="K34" s="126"/>
      <c r="L34" s="126"/>
      <c r="M34" s="126"/>
      <c r="N34" s="3">
        <f t="shared" si="7"/>
        <v>3415.9300000000003</v>
      </c>
      <c r="S34" s="510">
        <f t="shared" si="2"/>
        <v>1930.27</v>
      </c>
    </row>
    <row r="35" spans="1:20" x14ac:dyDescent="0.3">
      <c r="A35" s="1" t="s">
        <v>42</v>
      </c>
      <c r="B35" s="505">
        <f t="shared" ref="B35:M35" si="9">(((((((B27)+(B28))+(B29))+(B30))+(B31))+(B32))+(B33))+(B34)</f>
        <v>18037.91</v>
      </c>
      <c r="C35" s="505">
        <f t="shared" si="9"/>
        <v>16417.3</v>
      </c>
      <c r="D35" s="505">
        <f t="shared" si="9"/>
        <v>19092.230000000003</v>
      </c>
      <c r="E35" s="505">
        <f t="shared" si="9"/>
        <v>17816.32</v>
      </c>
      <c r="F35" s="505">
        <f t="shared" si="9"/>
        <v>17304.34</v>
      </c>
      <c r="G35" s="505">
        <f t="shared" si="9"/>
        <v>16482.88</v>
      </c>
      <c r="H35" s="505">
        <f t="shared" si="9"/>
        <v>18889.840000000004</v>
      </c>
      <c r="I35" s="505">
        <f t="shared" si="9"/>
        <v>16405.849999999999</v>
      </c>
      <c r="J35" s="505">
        <f t="shared" si="9"/>
        <v>20042.8</v>
      </c>
      <c r="K35" s="4">
        <f t="shared" si="9"/>
        <v>16458</v>
      </c>
      <c r="L35" s="4">
        <f t="shared" si="9"/>
        <v>16458</v>
      </c>
      <c r="M35" s="4">
        <f t="shared" si="9"/>
        <v>17058</v>
      </c>
      <c r="N35" s="4">
        <f t="shared" si="7"/>
        <v>210463.47</v>
      </c>
      <c r="S35" s="510">
        <f t="shared" si="2"/>
        <v>140446.67000000001</v>
      </c>
    </row>
    <row r="36" spans="1:20" x14ac:dyDescent="0.3">
      <c r="A36" s="1" t="s">
        <v>43</v>
      </c>
      <c r="B36" s="503"/>
      <c r="C36" s="503"/>
      <c r="D36" s="503"/>
      <c r="E36" s="503"/>
      <c r="F36" s="503"/>
      <c r="G36" s="503"/>
      <c r="H36" s="503"/>
      <c r="I36" s="503"/>
      <c r="J36" s="503"/>
      <c r="K36" s="2"/>
      <c r="L36" s="2"/>
      <c r="M36" s="2"/>
      <c r="N36" s="3">
        <f t="shared" si="7"/>
        <v>0</v>
      </c>
      <c r="S36" s="510">
        <f t="shared" si="2"/>
        <v>0</v>
      </c>
    </row>
    <row r="37" spans="1:20" x14ac:dyDescent="0.3">
      <c r="A37" s="1" t="s">
        <v>44</v>
      </c>
      <c r="B37" s="504">
        <f>2500</f>
        <v>2500</v>
      </c>
      <c r="C37" s="504">
        <f>2500</f>
        <v>2500</v>
      </c>
      <c r="D37" s="504">
        <f>2500</f>
        <v>2500</v>
      </c>
      <c r="E37" s="504">
        <f>2500</f>
        <v>2500</v>
      </c>
      <c r="F37" s="504">
        <f>2500</f>
        <v>2500</v>
      </c>
      <c r="G37" s="504">
        <f>2500</f>
        <v>2500</v>
      </c>
      <c r="H37" s="503">
        <f>SUM('Example 1 _ Cash Flows'!Z17)</f>
        <v>2500</v>
      </c>
      <c r="I37" s="503">
        <f>'Example 1 _ Cash Flows'!Z51</f>
        <v>2500</v>
      </c>
      <c r="J37" s="503">
        <f>'Example 1 _ Cash Flows'!Z83</f>
        <v>2500</v>
      </c>
      <c r="K37" s="2">
        <f>'Example 1 _ Cash Flows'!Z112</f>
        <v>2500</v>
      </c>
      <c r="L37" s="2">
        <f>'Example 1 _ Cash Flows'!Z138</f>
        <v>2500</v>
      </c>
      <c r="M37" s="2">
        <f>'Example 1 _ Cash Flows'!Z166</f>
        <v>2500</v>
      </c>
      <c r="N37" s="3">
        <f t="shared" si="7"/>
        <v>30000</v>
      </c>
      <c r="O37" s="481" t="s">
        <v>447</v>
      </c>
      <c r="S37" s="510">
        <f t="shared" si="2"/>
        <v>20000</v>
      </c>
    </row>
    <row r="38" spans="1:20" x14ac:dyDescent="0.3">
      <c r="A38" s="1" t="s">
        <v>45</v>
      </c>
      <c r="B38" s="504">
        <f>1677.84</f>
        <v>1677.84</v>
      </c>
      <c r="C38" s="504">
        <f>1668.22</f>
        <v>1668.22</v>
      </c>
      <c r="D38" s="504">
        <f>1663.02</f>
        <v>1663.02</v>
      </c>
      <c r="E38" s="504">
        <f>1680.3</f>
        <v>1680.3</v>
      </c>
      <c r="F38" s="504">
        <f>1656</f>
        <v>1656</v>
      </c>
      <c r="G38" s="504">
        <f>1709</f>
        <v>1709</v>
      </c>
      <c r="H38" s="504">
        <v>1656</v>
      </c>
      <c r="I38" s="503">
        <v>1584</v>
      </c>
      <c r="J38" s="503">
        <v>1603</v>
      </c>
      <c r="K38" s="2">
        <f>'Example 1 _ Cash Flows'!AD112</f>
        <v>1674</v>
      </c>
      <c r="L38" s="2">
        <f>'Example 1 _ Cash Flows'!AD138</f>
        <v>1674</v>
      </c>
      <c r="M38" s="2">
        <f>'Example 1 _ Cash Flows'!AD166</f>
        <v>1674</v>
      </c>
      <c r="N38" s="3">
        <f t="shared" si="7"/>
        <v>19919.38</v>
      </c>
      <c r="O38" s="482" t="s">
        <v>425</v>
      </c>
      <c r="S38" s="510">
        <f t="shared" si="2"/>
        <v>13294.380000000001</v>
      </c>
    </row>
    <row r="39" spans="1:20" x14ac:dyDescent="0.3">
      <c r="A39" s="1" t="s">
        <v>46</v>
      </c>
      <c r="B39" s="504">
        <f t="shared" ref="B39:G39" si="10">88.95</f>
        <v>88.95</v>
      </c>
      <c r="C39" s="504">
        <f t="shared" si="10"/>
        <v>88.95</v>
      </c>
      <c r="D39" s="504">
        <f t="shared" si="10"/>
        <v>88.95</v>
      </c>
      <c r="E39" s="504">
        <f t="shared" si="10"/>
        <v>88.95</v>
      </c>
      <c r="F39" s="504">
        <f t="shared" si="10"/>
        <v>88.95</v>
      </c>
      <c r="G39" s="504">
        <f t="shared" si="10"/>
        <v>88.95</v>
      </c>
      <c r="H39" s="503">
        <v>88.95</v>
      </c>
      <c r="I39" s="503"/>
      <c r="J39" s="503">
        <v>88.95</v>
      </c>
      <c r="K39" s="2">
        <f>'Example 1 _ Cash Flows'!AQ112</f>
        <v>111.1875</v>
      </c>
      <c r="L39" s="2">
        <f>'Example 1 _ Cash Flows'!AQ138</f>
        <v>111.1875</v>
      </c>
      <c r="M39" s="2">
        <f>'Example 1 _ Cash Flows'!AQ166</f>
        <v>111.1875</v>
      </c>
      <c r="N39" s="3">
        <f t="shared" si="7"/>
        <v>1045.1625000000001</v>
      </c>
      <c r="S39" s="510">
        <f t="shared" si="2"/>
        <v>622.65000000000009</v>
      </c>
    </row>
    <row r="40" spans="1:20" x14ac:dyDescent="0.3">
      <c r="A40" s="1" t="s">
        <v>47</v>
      </c>
      <c r="B40" s="505">
        <f t="shared" ref="B40:M40" si="11">(((B36)+(B37))+(B38))+(B39)</f>
        <v>4266.79</v>
      </c>
      <c r="C40" s="505">
        <f t="shared" si="11"/>
        <v>4257.17</v>
      </c>
      <c r="D40" s="505">
        <f t="shared" si="11"/>
        <v>4251.97</v>
      </c>
      <c r="E40" s="505">
        <f t="shared" si="11"/>
        <v>4269.25</v>
      </c>
      <c r="F40" s="505">
        <f t="shared" si="11"/>
        <v>4244.95</v>
      </c>
      <c r="G40" s="505">
        <f t="shared" si="11"/>
        <v>4297.95</v>
      </c>
      <c r="H40" s="505">
        <f t="shared" si="11"/>
        <v>4244.95</v>
      </c>
      <c r="I40" s="505">
        <f t="shared" si="11"/>
        <v>4084</v>
      </c>
      <c r="J40" s="505">
        <f t="shared" si="11"/>
        <v>4191.95</v>
      </c>
      <c r="K40" s="4">
        <f t="shared" si="11"/>
        <v>4285.1875</v>
      </c>
      <c r="L40" s="4">
        <f t="shared" si="11"/>
        <v>4285.1875</v>
      </c>
      <c r="M40" s="4">
        <f t="shared" si="11"/>
        <v>4285.1875</v>
      </c>
      <c r="N40" s="4">
        <f t="shared" si="7"/>
        <v>50964.542499999996</v>
      </c>
      <c r="S40" s="510">
        <f t="shared" si="2"/>
        <v>33917.03</v>
      </c>
    </row>
    <row r="41" spans="1:20" x14ac:dyDescent="0.3">
      <c r="A41" s="1" t="s">
        <v>422</v>
      </c>
      <c r="B41" s="503"/>
      <c r="C41" s="503"/>
      <c r="D41" s="503"/>
      <c r="E41" s="503"/>
      <c r="F41" s="503"/>
      <c r="G41" s="503"/>
      <c r="H41" s="503"/>
      <c r="I41" s="503"/>
      <c r="J41" s="503">
        <v>0</v>
      </c>
      <c r="K41" s="226">
        <f>'Mid Year Budget _ Cash Flows '!BB128</f>
        <v>2375</v>
      </c>
      <c r="L41" s="226">
        <f>'Mid Year Budget _ Cash Flows '!BB157</f>
        <v>0</v>
      </c>
      <c r="M41" s="226">
        <f>'Mid Year Budget _ Cash Flows '!BB189</f>
        <v>0</v>
      </c>
      <c r="N41" s="227">
        <f t="shared" si="7"/>
        <v>2375</v>
      </c>
      <c r="O41" s="481" t="s">
        <v>423</v>
      </c>
      <c r="S41" s="510">
        <f t="shared" si="2"/>
        <v>0</v>
      </c>
    </row>
    <row r="42" spans="1:20" x14ac:dyDescent="0.3">
      <c r="A42" s="1" t="s">
        <v>49</v>
      </c>
      <c r="B42" s="504">
        <f>6549.33</f>
        <v>6549.33</v>
      </c>
      <c r="C42" s="504">
        <f>201.7</f>
        <v>201.7</v>
      </c>
      <c r="D42" s="504">
        <f>664.45</f>
        <v>664.45</v>
      </c>
      <c r="E42" s="504">
        <f>51</f>
        <v>51</v>
      </c>
      <c r="F42" s="503"/>
      <c r="G42" s="503"/>
      <c r="H42" s="503"/>
      <c r="I42" s="503"/>
      <c r="J42" s="503">
        <v>22.7</v>
      </c>
      <c r="K42" s="126"/>
      <c r="L42" s="126"/>
      <c r="M42" s="126"/>
      <c r="N42" s="3">
        <f t="shared" si="7"/>
        <v>7489.1799999999994</v>
      </c>
      <c r="S42" s="510">
        <f t="shared" si="2"/>
        <v>7466.48</v>
      </c>
    </row>
    <row r="43" spans="1:20" x14ac:dyDescent="0.3">
      <c r="A43" s="1" t="s">
        <v>50</v>
      </c>
      <c r="B43" s="503"/>
      <c r="C43" s="504">
        <f>265</f>
        <v>265</v>
      </c>
      <c r="D43" s="504">
        <f>275.75</f>
        <v>275.75</v>
      </c>
      <c r="E43" s="503"/>
      <c r="F43" s="503"/>
      <c r="G43" s="503"/>
      <c r="H43" s="504">
        <f>3300</f>
        <v>3300</v>
      </c>
      <c r="I43" s="504">
        <f>3570</f>
        <v>3570</v>
      </c>
      <c r="J43" s="504">
        <v>0</v>
      </c>
      <c r="K43" s="126"/>
      <c r="L43" s="126"/>
      <c r="M43" s="126">
        <f>SUM('Mid Year Budget _ Cash Flows '!AU94)</f>
        <v>3050</v>
      </c>
      <c r="N43" s="3">
        <f t="shared" si="7"/>
        <v>10460.75</v>
      </c>
      <c r="S43" s="510">
        <f t="shared" si="2"/>
        <v>7410.75</v>
      </c>
    </row>
    <row r="44" spans="1:20" x14ac:dyDescent="0.3">
      <c r="A44" s="1" t="s">
        <v>51</v>
      </c>
      <c r="B44" s="504">
        <f>1064.15</f>
        <v>1064.1500000000001</v>
      </c>
      <c r="C44" s="503"/>
      <c r="D44" s="503"/>
      <c r="E44" s="503"/>
      <c r="F44" s="503"/>
      <c r="G44" s="503"/>
      <c r="H44" s="503"/>
      <c r="I44" s="503">
        <v>1500</v>
      </c>
      <c r="J44" s="503">
        <v>2500</v>
      </c>
      <c r="K44" s="126"/>
      <c r="L44" s="126"/>
      <c r="M44" s="126"/>
      <c r="N44" s="3">
        <f t="shared" si="7"/>
        <v>5064.1499999999996</v>
      </c>
      <c r="O44" s="228" t="s">
        <v>394</v>
      </c>
      <c r="S44" s="510">
        <f t="shared" si="2"/>
        <v>2564.15</v>
      </c>
    </row>
    <row r="45" spans="1:20" s="497" customFormat="1" x14ac:dyDescent="0.3">
      <c r="A45" s="1" t="s">
        <v>454</v>
      </c>
      <c r="B45" s="504"/>
      <c r="C45" s="504"/>
      <c r="D45" s="504"/>
      <c r="E45" s="503"/>
      <c r="F45" s="504"/>
      <c r="G45" s="504"/>
      <c r="H45" s="503">
        <v>1705.92</v>
      </c>
      <c r="I45" s="503"/>
      <c r="J45" s="503">
        <v>2683.9</v>
      </c>
      <c r="K45" s="126"/>
      <c r="L45" s="126"/>
      <c r="M45" s="126"/>
      <c r="N45" s="3">
        <f t="shared" ref="N45" si="12">(((((((((((B45)+(C45))+(D45))+(E45))+(F45))+(G45))+(H45))+(I45))+(J45))+(K45))+(L45))+(M45)</f>
        <v>4389.82</v>
      </c>
      <c r="O45" s="7"/>
      <c r="P45" s="510"/>
      <c r="Q45" s="482"/>
      <c r="R45" s="482"/>
      <c r="S45" s="510">
        <f t="shared" ref="S45" si="13">SUM(B45:I45)</f>
        <v>1705.92</v>
      </c>
      <c r="T45" s="482"/>
    </row>
    <row r="46" spans="1:20" x14ac:dyDescent="0.3">
      <c r="A46" s="1" t="s">
        <v>52</v>
      </c>
      <c r="B46" s="504">
        <f>381.67</f>
        <v>381.67</v>
      </c>
      <c r="C46" s="504">
        <f>32.76</f>
        <v>32.76</v>
      </c>
      <c r="D46" s="504">
        <f>962.9</f>
        <v>962.9</v>
      </c>
      <c r="E46" s="503"/>
      <c r="F46" s="504">
        <f>149.38</f>
        <v>149.38</v>
      </c>
      <c r="G46" s="504">
        <f>2168.9</f>
        <v>2168.9</v>
      </c>
      <c r="H46" s="503">
        <v>3576.9</v>
      </c>
      <c r="I46" s="503">
        <v>86.25</v>
      </c>
      <c r="J46" s="503">
        <v>2917.3</v>
      </c>
      <c r="K46" s="126">
        <f>'Mid Year Budget _ Cash Flows '!AT128</f>
        <v>0</v>
      </c>
      <c r="L46" s="126">
        <f>'Mid Year Budget _ Cash Flows '!AT157</f>
        <v>0</v>
      </c>
      <c r="M46" s="126">
        <f>'Mid Year Budget _ Cash Flows '!AT189</f>
        <v>2600</v>
      </c>
      <c r="N46" s="3">
        <f t="shared" si="7"/>
        <v>12876.060000000001</v>
      </c>
      <c r="P46" s="510">
        <f>SUM(I46:M46)</f>
        <v>5603.55</v>
      </c>
      <c r="S46" s="510">
        <f t="shared" si="2"/>
        <v>7358.76</v>
      </c>
    </row>
    <row r="47" spans="1:20" x14ac:dyDescent="0.3">
      <c r="A47" s="1" t="s">
        <v>53</v>
      </c>
      <c r="B47" s="503"/>
      <c r="C47" s="503"/>
      <c r="D47" s="503"/>
      <c r="E47" s="504">
        <f>805</f>
        <v>805</v>
      </c>
      <c r="F47" s="503"/>
      <c r="G47" s="503"/>
      <c r="H47" s="503"/>
      <c r="I47" s="503"/>
      <c r="J47" s="503"/>
      <c r="K47" s="126"/>
      <c r="L47" s="126"/>
      <c r="M47" s="126"/>
      <c r="N47" s="3">
        <f t="shared" si="7"/>
        <v>805</v>
      </c>
      <c r="P47" s="510"/>
      <c r="S47" s="510">
        <f t="shared" si="2"/>
        <v>805</v>
      </c>
    </row>
    <row r="48" spans="1:20" s="497" customFormat="1" x14ac:dyDescent="0.3">
      <c r="A48" s="1" t="s">
        <v>455</v>
      </c>
      <c r="B48" s="503"/>
      <c r="C48" s="503"/>
      <c r="D48" s="503"/>
      <c r="E48" s="504"/>
      <c r="F48" s="503"/>
      <c r="G48" s="503">
        <v>90.67</v>
      </c>
      <c r="H48" s="503">
        <v>407.35</v>
      </c>
      <c r="I48" s="503"/>
      <c r="J48" s="503"/>
      <c r="K48" s="126"/>
      <c r="L48" s="126"/>
      <c r="M48" s="126"/>
      <c r="N48" s="3"/>
      <c r="O48" s="7"/>
      <c r="P48" s="510"/>
      <c r="Q48" s="482"/>
      <c r="R48" s="482"/>
      <c r="S48" s="510"/>
      <c r="T48" s="482"/>
    </row>
    <row r="49" spans="1:19" x14ac:dyDescent="0.3">
      <c r="A49" s="1" t="s">
        <v>54</v>
      </c>
      <c r="B49" s="505">
        <f>SUM(B41:B48)</f>
        <v>7995.15</v>
      </c>
      <c r="C49" s="505">
        <f t="shared" ref="C49:M49" si="14">SUM(C41:C48)</f>
        <v>499.46</v>
      </c>
      <c r="D49" s="505">
        <f t="shared" si="14"/>
        <v>1903.1</v>
      </c>
      <c r="E49" s="505">
        <f t="shared" si="14"/>
        <v>856</v>
      </c>
      <c r="F49" s="505">
        <f t="shared" si="14"/>
        <v>149.38</v>
      </c>
      <c r="G49" s="505">
        <f t="shared" si="14"/>
        <v>2259.5700000000002</v>
      </c>
      <c r="H49" s="505">
        <f t="shared" si="14"/>
        <v>8990.17</v>
      </c>
      <c r="I49" s="505">
        <f t="shared" si="14"/>
        <v>5156.25</v>
      </c>
      <c r="J49" s="505">
        <f t="shared" si="14"/>
        <v>8123.9000000000005</v>
      </c>
      <c r="K49" s="505">
        <f t="shared" si="14"/>
        <v>2375</v>
      </c>
      <c r="L49" s="505">
        <f t="shared" si="14"/>
        <v>0</v>
      </c>
      <c r="M49" s="505">
        <f t="shared" si="14"/>
        <v>5650</v>
      </c>
      <c r="N49" s="4">
        <f t="shared" si="7"/>
        <v>43957.979999999996</v>
      </c>
      <c r="P49" s="510"/>
      <c r="S49" s="540">
        <f t="shared" si="2"/>
        <v>27809.079999999998</v>
      </c>
    </row>
    <row r="50" spans="1:19" x14ac:dyDescent="0.3">
      <c r="A50" s="1" t="s">
        <v>55</v>
      </c>
      <c r="B50" s="505">
        <f t="shared" ref="B50:M50" si="15">((((B18)+(B26))+(B35))+(B40))+(B49)</f>
        <v>36199.230000000003</v>
      </c>
      <c r="C50" s="505">
        <f t="shared" si="15"/>
        <v>125073.03000000001</v>
      </c>
      <c r="D50" s="505">
        <f t="shared" si="15"/>
        <v>86194.38</v>
      </c>
      <c r="E50" s="505">
        <f t="shared" si="15"/>
        <v>77286.459999999992</v>
      </c>
      <c r="F50" s="505">
        <f t="shared" si="15"/>
        <v>73039.12</v>
      </c>
      <c r="G50" s="505">
        <f t="shared" si="15"/>
        <v>39598.469999999994</v>
      </c>
      <c r="H50" s="505">
        <f t="shared" si="15"/>
        <v>38031.870000000003</v>
      </c>
      <c r="I50" s="505">
        <f t="shared" si="15"/>
        <v>29865.879999999997</v>
      </c>
      <c r="J50" s="505">
        <f t="shared" si="15"/>
        <v>34822.65</v>
      </c>
      <c r="K50" s="4">
        <f t="shared" si="15"/>
        <v>30493.1875</v>
      </c>
      <c r="L50" s="4">
        <f t="shared" si="15"/>
        <v>28118.1875</v>
      </c>
      <c r="M50" s="4">
        <f t="shared" si="15"/>
        <v>34368.1875</v>
      </c>
      <c r="N50" s="4">
        <f t="shared" si="7"/>
        <v>633090.65249999997</v>
      </c>
      <c r="P50" s="510"/>
      <c r="S50" s="540">
        <f t="shared" si="2"/>
        <v>505288.43999999994</v>
      </c>
    </row>
    <row r="51" spans="1:19" x14ac:dyDescent="0.3">
      <c r="A51" s="1" t="s">
        <v>56</v>
      </c>
      <c r="B51" s="503"/>
      <c r="C51" s="503"/>
      <c r="D51" s="503"/>
      <c r="E51" s="503"/>
      <c r="F51" s="503"/>
      <c r="G51" s="503"/>
      <c r="H51" s="503"/>
      <c r="I51" s="503"/>
      <c r="J51" s="503"/>
      <c r="K51" s="2"/>
      <c r="L51" s="2"/>
      <c r="M51" s="2"/>
      <c r="N51" s="3">
        <f t="shared" si="7"/>
        <v>0</v>
      </c>
      <c r="P51" s="510"/>
      <c r="S51" s="540">
        <f t="shared" si="2"/>
        <v>0</v>
      </c>
    </row>
    <row r="52" spans="1:19" x14ac:dyDescent="0.3">
      <c r="A52" s="1" t="s">
        <v>57</v>
      </c>
      <c r="B52" s="503"/>
      <c r="C52" s="503"/>
      <c r="D52" s="503"/>
      <c r="E52" s="503"/>
      <c r="F52" s="503"/>
      <c r="G52" s="503"/>
      <c r="H52" s="503"/>
      <c r="I52" s="503"/>
      <c r="J52" s="503"/>
      <c r="K52" s="2"/>
      <c r="L52" s="2"/>
      <c r="M52" s="2"/>
      <c r="N52" s="3">
        <f t="shared" si="7"/>
        <v>0</v>
      </c>
      <c r="P52" s="510"/>
      <c r="S52" s="540">
        <f t="shared" si="2"/>
        <v>0</v>
      </c>
    </row>
    <row r="53" spans="1:19" x14ac:dyDescent="0.3">
      <c r="A53" s="1" t="s">
        <v>58</v>
      </c>
      <c r="B53" s="504">
        <f>1978.92</f>
        <v>1978.92</v>
      </c>
      <c r="C53" s="503"/>
      <c r="D53" s="504">
        <f>1185</f>
        <v>1185</v>
      </c>
      <c r="E53" s="504">
        <f>5154.97</f>
        <v>5154.97</v>
      </c>
      <c r="F53" s="503"/>
      <c r="G53" s="504">
        <f>1125</f>
        <v>1125</v>
      </c>
      <c r="H53" s="503">
        <v>969.85</v>
      </c>
      <c r="I53" s="503"/>
      <c r="J53" s="503">
        <v>0</v>
      </c>
      <c r="K53" s="2">
        <f>'Mid Year Budget _ Cash Flows '!AV128</f>
        <v>0</v>
      </c>
      <c r="L53" s="2">
        <f>'Mid Year Budget _ Cash Flows '!AV157</f>
        <v>0</v>
      </c>
      <c r="M53" s="2">
        <f>'Example 1 _ Cash Flows'!AU166</f>
        <v>0</v>
      </c>
      <c r="N53" s="3">
        <f t="shared" si="7"/>
        <v>10413.74</v>
      </c>
      <c r="P53" s="510">
        <f>SUM(H53:M53)</f>
        <v>969.85</v>
      </c>
      <c r="S53" s="540">
        <f t="shared" si="2"/>
        <v>10413.74</v>
      </c>
    </row>
    <row r="54" spans="1:19" x14ac:dyDescent="0.3">
      <c r="A54" s="1" t="s">
        <v>59</v>
      </c>
      <c r="B54" s="504">
        <f>644.77</f>
        <v>644.77</v>
      </c>
      <c r="C54" s="504">
        <f>340.63</f>
        <v>340.63</v>
      </c>
      <c r="D54" s="504">
        <f>540.08</f>
        <v>540.08000000000004</v>
      </c>
      <c r="E54" s="504">
        <f>791.34</f>
        <v>791.34</v>
      </c>
      <c r="F54" s="504">
        <f>280</f>
        <v>280</v>
      </c>
      <c r="G54" s="504">
        <v>756.76</v>
      </c>
      <c r="H54" s="503">
        <v>730.04</v>
      </c>
      <c r="I54" s="503">
        <v>84.07</v>
      </c>
      <c r="J54" s="503">
        <v>508.54</v>
      </c>
      <c r="K54" s="226">
        <f>'Mid Year Budget _ Cash Flows '!AY128</f>
        <v>600</v>
      </c>
      <c r="L54" s="226">
        <f>'Mid Year Budget _ Cash Flows '!AY157</f>
        <v>1200</v>
      </c>
      <c r="M54" s="226">
        <f>'Mid Year Budget _ Cash Flows '!AY189</f>
        <v>0</v>
      </c>
      <c r="N54" s="3">
        <f t="shared" si="7"/>
        <v>6476.23</v>
      </c>
      <c r="O54" s="481" t="s">
        <v>424</v>
      </c>
      <c r="P54" s="510">
        <f t="shared" ref="P54:P88" si="16">SUM(H54:M54)</f>
        <v>3122.6499999999996</v>
      </c>
      <c r="S54" s="540">
        <f t="shared" si="2"/>
        <v>4167.6899999999996</v>
      </c>
    </row>
    <row r="55" spans="1:19" x14ac:dyDescent="0.3">
      <c r="A55" s="1" t="s">
        <v>60</v>
      </c>
      <c r="B55" s="504">
        <f>2640</f>
        <v>2640</v>
      </c>
      <c r="C55" s="503"/>
      <c r="D55" s="503"/>
      <c r="E55" s="504">
        <f>150</f>
        <v>150</v>
      </c>
      <c r="F55" s="503"/>
      <c r="G55" s="504"/>
      <c r="H55" s="503">
        <v>0</v>
      </c>
      <c r="I55" s="503">
        <v>168</v>
      </c>
      <c r="J55" s="503">
        <f>'Example 1 _ Cash Flows'!AO83</f>
        <v>0</v>
      </c>
      <c r="K55" s="2">
        <f>'Example 1 _ Cash Flows'!AO112</f>
        <v>0</v>
      </c>
      <c r="L55" s="2">
        <f>'Example 1 _ Cash Flows'!AO138</f>
        <v>0</v>
      </c>
      <c r="M55" s="2">
        <f>'Example 1 _ Cash Flows'!AO166</f>
        <v>0</v>
      </c>
      <c r="N55" s="3">
        <f t="shared" si="7"/>
        <v>2958</v>
      </c>
      <c r="P55" s="510">
        <f t="shared" si="16"/>
        <v>168</v>
      </c>
      <c r="S55" s="540">
        <f t="shared" si="2"/>
        <v>2958</v>
      </c>
    </row>
    <row r="56" spans="1:19" x14ac:dyDescent="0.3">
      <c r="A56" s="1" t="s">
        <v>61</v>
      </c>
      <c r="B56" s="503"/>
      <c r="C56" s="503"/>
      <c r="D56" s="503"/>
      <c r="E56" s="503"/>
      <c r="F56" s="503"/>
      <c r="G56" s="504"/>
      <c r="H56" s="504">
        <f>1833.35</f>
        <v>1833.35</v>
      </c>
      <c r="I56" s="504">
        <f>1833.35</f>
        <v>1833.35</v>
      </c>
      <c r="J56" s="504">
        <f>1833.35</f>
        <v>1833.35</v>
      </c>
      <c r="K56" s="3">
        <f>1833.35</f>
        <v>1833.35</v>
      </c>
      <c r="L56" s="3">
        <f>1833.35</f>
        <v>1833.35</v>
      </c>
      <c r="M56" s="3">
        <f>1833.25</f>
        <v>1833.25</v>
      </c>
      <c r="N56" s="3">
        <f t="shared" si="7"/>
        <v>11000</v>
      </c>
      <c r="P56" s="510">
        <f t="shared" si="16"/>
        <v>11000</v>
      </c>
      <c r="S56" s="540">
        <f t="shared" si="2"/>
        <v>3666.7</v>
      </c>
    </row>
    <row r="57" spans="1:19" x14ac:dyDescent="0.3">
      <c r="A57" s="1" t="s">
        <v>62</v>
      </c>
      <c r="B57" s="505">
        <f t="shared" ref="B57:M57" si="17">((((B52)+(B53))+(B54))+(B55))+(B56)</f>
        <v>5263.6900000000005</v>
      </c>
      <c r="C57" s="505">
        <f t="shared" si="17"/>
        <v>340.63</v>
      </c>
      <c r="D57" s="505">
        <f t="shared" si="17"/>
        <v>1725.08</v>
      </c>
      <c r="E57" s="505">
        <f t="shared" si="17"/>
        <v>6096.31</v>
      </c>
      <c r="F57" s="505">
        <f t="shared" si="17"/>
        <v>280</v>
      </c>
      <c r="G57" s="505">
        <f t="shared" si="17"/>
        <v>1881.76</v>
      </c>
      <c r="H57" s="505">
        <f t="shared" si="17"/>
        <v>3533.24</v>
      </c>
      <c r="I57" s="505">
        <f t="shared" si="17"/>
        <v>2085.42</v>
      </c>
      <c r="J57" s="505">
        <f t="shared" si="17"/>
        <v>2341.89</v>
      </c>
      <c r="K57" s="4">
        <f t="shared" si="17"/>
        <v>2433.35</v>
      </c>
      <c r="L57" s="4">
        <f t="shared" si="17"/>
        <v>3033.35</v>
      </c>
      <c r="M57" s="4">
        <f t="shared" si="17"/>
        <v>1833.25</v>
      </c>
      <c r="N57" s="4">
        <f t="shared" si="7"/>
        <v>30847.969999999994</v>
      </c>
      <c r="P57" s="510">
        <f t="shared" si="16"/>
        <v>15260.5</v>
      </c>
      <c r="S57" s="540">
        <f t="shared" si="2"/>
        <v>21206.129999999997</v>
      </c>
    </row>
    <row r="58" spans="1:19" x14ac:dyDescent="0.3">
      <c r="A58" s="1" t="s">
        <v>63</v>
      </c>
      <c r="B58" s="503"/>
      <c r="C58" s="503"/>
      <c r="D58" s="503"/>
      <c r="E58" s="503"/>
      <c r="F58" s="503"/>
      <c r="G58" s="503"/>
      <c r="H58" s="503"/>
      <c r="I58" s="503"/>
      <c r="J58" s="503"/>
      <c r="K58" s="2"/>
      <c r="L58" s="2"/>
      <c r="M58" s="2"/>
      <c r="N58" s="3">
        <f t="shared" si="7"/>
        <v>0</v>
      </c>
      <c r="P58" s="510">
        <f t="shared" si="16"/>
        <v>0</v>
      </c>
      <c r="S58" s="540">
        <f t="shared" si="2"/>
        <v>0</v>
      </c>
    </row>
    <row r="59" spans="1:19" x14ac:dyDescent="0.3">
      <c r="A59" s="1" t="s">
        <v>64</v>
      </c>
      <c r="B59" s="503"/>
      <c r="C59" s="504">
        <f>4227.52</f>
        <v>4227.5200000000004</v>
      </c>
      <c r="D59" s="504">
        <f>10350.25</f>
        <v>10350.25</v>
      </c>
      <c r="E59" s="504">
        <f>1753.2</f>
        <v>1753.2</v>
      </c>
      <c r="F59" s="504">
        <f>705.41</f>
        <v>705.41</v>
      </c>
      <c r="G59" s="504">
        <v>6896.43</v>
      </c>
      <c r="H59" s="504">
        <v>3110.96</v>
      </c>
      <c r="I59" s="503">
        <v>1837.5</v>
      </c>
      <c r="J59" s="503">
        <v>3343.97</v>
      </c>
      <c r="K59" s="126"/>
      <c r="L59" s="126"/>
      <c r="M59" s="126"/>
      <c r="N59" s="3">
        <f t="shared" si="7"/>
        <v>32225.24</v>
      </c>
      <c r="O59" s="481" t="s">
        <v>421</v>
      </c>
      <c r="P59" s="510">
        <f t="shared" si="16"/>
        <v>8292.43</v>
      </c>
      <c r="S59" s="540">
        <f t="shared" si="2"/>
        <v>28881.27</v>
      </c>
    </row>
    <row r="60" spans="1:19" x14ac:dyDescent="0.3">
      <c r="A60" s="1" t="s">
        <v>65</v>
      </c>
      <c r="B60" s="504">
        <f>2080</f>
        <v>2080</v>
      </c>
      <c r="C60" s="504">
        <f>2080</f>
        <v>2080</v>
      </c>
      <c r="D60" s="504">
        <f>1580</f>
        <v>1580</v>
      </c>
      <c r="E60" s="504">
        <f>1080</f>
        <v>1080</v>
      </c>
      <c r="F60" s="504">
        <f>4660</f>
        <v>4660</v>
      </c>
      <c r="G60" s="504">
        <f>1080</f>
        <v>1080</v>
      </c>
      <c r="H60" s="504">
        <f>1080+'Example 1 _ Cash Flows'!X17</f>
        <v>1080</v>
      </c>
      <c r="I60" s="503">
        <v>1580</v>
      </c>
      <c r="J60" s="504">
        <v>12105</v>
      </c>
      <c r="K60" s="225">
        <f>'Example 1 _ Cash Flows'!X112</f>
        <v>1080</v>
      </c>
      <c r="L60" s="225">
        <f>'Example 1 _ Cash Flows'!X138</f>
        <v>1080</v>
      </c>
      <c r="M60" s="225">
        <f>'Example 1 _ Cash Flows'!X166</f>
        <v>1080</v>
      </c>
      <c r="N60" s="224">
        <f t="shared" si="7"/>
        <v>30565</v>
      </c>
      <c r="O60" s="481" t="s">
        <v>403</v>
      </c>
      <c r="P60" s="510">
        <f t="shared" si="16"/>
        <v>18005</v>
      </c>
      <c r="S60" s="540">
        <f t="shared" si="2"/>
        <v>15220</v>
      </c>
    </row>
    <row r="61" spans="1:19" x14ac:dyDescent="0.3">
      <c r="A61" s="1" t="s">
        <v>66</v>
      </c>
      <c r="B61" s="504">
        <f>2700</f>
        <v>2700</v>
      </c>
      <c r="C61" s="504">
        <f>3402.7</f>
        <v>3402.7</v>
      </c>
      <c r="D61" s="504">
        <f>288.35</f>
        <v>288.35000000000002</v>
      </c>
      <c r="E61" s="504">
        <f>200</f>
        <v>200</v>
      </c>
      <c r="F61" s="504">
        <f>200</f>
        <v>200</v>
      </c>
      <c r="G61" s="504">
        <f>200</f>
        <v>200</v>
      </c>
      <c r="H61" s="504">
        <f>200</f>
        <v>200</v>
      </c>
      <c r="I61" s="503">
        <f>SUM('Example 1 _ Cash Flows'!AM51)</f>
        <v>200</v>
      </c>
      <c r="J61" s="503">
        <f>SUM('Example 1 _ Cash Flows'!AM83)</f>
        <v>200</v>
      </c>
      <c r="K61" s="2">
        <f>SUM('Example 1 _ Cash Flows'!AM112)</f>
        <v>200</v>
      </c>
      <c r="L61" s="2">
        <f>SUM('Example 1 _ Cash Flows'!AM138)</f>
        <v>200</v>
      </c>
      <c r="M61" s="2">
        <f>SUM('Example 1 _ Cash Flows'!AM166)</f>
        <v>200</v>
      </c>
      <c r="N61" s="3">
        <f t="shared" si="7"/>
        <v>8191.05</v>
      </c>
      <c r="P61" s="510">
        <f t="shared" si="16"/>
        <v>1200</v>
      </c>
      <c r="S61" s="540">
        <f t="shared" si="2"/>
        <v>7391.05</v>
      </c>
    </row>
    <row r="62" spans="1:19" x14ac:dyDescent="0.3">
      <c r="A62" s="1" t="s">
        <v>67</v>
      </c>
      <c r="B62" s="505">
        <f t="shared" ref="B62:M62" si="18">(((B58)+(B59))+(B60))+(B61)</f>
        <v>4780</v>
      </c>
      <c r="C62" s="505">
        <f t="shared" si="18"/>
        <v>9710.2200000000012</v>
      </c>
      <c r="D62" s="505">
        <f t="shared" si="18"/>
        <v>12218.6</v>
      </c>
      <c r="E62" s="505">
        <f t="shared" si="18"/>
        <v>3033.2</v>
      </c>
      <c r="F62" s="505">
        <f t="shared" si="18"/>
        <v>5565.41</v>
      </c>
      <c r="G62" s="505">
        <f t="shared" si="18"/>
        <v>8176.43</v>
      </c>
      <c r="H62" s="505">
        <f t="shared" si="18"/>
        <v>4390.96</v>
      </c>
      <c r="I62" s="505">
        <f t="shared" si="18"/>
        <v>3617.5</v>
      </c>
      <c r="J62" s="505">
        <f t="shared" si="18"/>
        <v>15648.97</v>
      </c>
      <c r="K62" s="4">
        <f t="shared" si="18"/>
        <v>1280</v>
      </c>
      <c r="L62" s="4">
        <f t="shared" si="18"/>
        <v>1280</v>
      </c>
      <c r="M62" s="4">
        <f t="shared" si="18"/>
        <v>1280</v>
      </c>
      <c r="N62" s="4">
        <f t="shared" si="7"/>
        <v>70981.289999999994</v>
      </c>
      <c r="P62" s="510">
        <f t="shared" si="16"/>
        <v>27497.43</v>
      </c>
      <c r="S62" s="540">
        <f t="shared" si="2"/>
        <v>51492.32</v>
      </c>
    </row>
    <row r="63" spans="1:19" x14ac:dyDescent="0.3">
      <c r="A63" s="1" t="s">
        <v>68</v>
      </c>
      <c r="B63" s="505">
        <f t="shared" ref="B63:M63" si="19">((B51)+(B57))+(B62)</f>
        <v>10043.69</v>
      </c>
      <c r="C63" s="505">
        <f t="shared" si="19"/>
        <v>10050.85</v>
      </c>
      <c r="D63" s="505">
        <f t="shared" si="19"/>
        <v>13943.68</v>
      </c>
      <c r="E63" s="505">
        <f t="shared" si="19"/>
        <v>9129.51</v>
      </c>
      <c r="F63" s="505">
        <f t="shared" si="19"/>
        <v>5845.41</v>
      </c>
      <c r="G63" s="505">
        <f t="shared" si="19"/>
        <v>10058.19</v>
      </c>
      <c r="H63" s="505">
        <f t="shared" si="19"/>
        <v>7924.2</v>
      </c>
      <c r="I63" s="505">
        <f t="shared" si="19"/>
        <v>5702.92</v>
      </c>
      <c r="J63" s="505">
        <f t="shared" si="19"/>
        <v>17990.86</v>
      </c>
      <c r="K63" s="4">
        <f t="shared" si="19"/>
        <v>3713.35</v>
      </c>
      <c r="L63" s="4">
        <f t="shared" si="19"/>
        <v>4313.3500000000004</v>
      </c>
      <c r="M63" s="4">
        <f t="shared" si="19"/>
        <v>3113.25</v>
      </c>
      <c r="N63" s="4">
        <f t="shared" si="7"/>
        <v>101829.26000000001</v>
      </c>
      <c r="P63" s="510">
        <f t="shared" si="16"/>
        <v>42757.93</v>
      </c>
      <c r="S63" s="540">
        <f t="shared" si="2"/>
        <v>72698.45</v>
      </c>
    </row>
    <row r="64" spans="1:19" x14ac:dyDescent="0.3">
      <c r="A64" s="1" t="s">
        <v>69</v>
      </c>
      <c r="B64" s="503"/>
      <c r="C64" s="503"/>
      <c r="D64" s="503"/>
      <c r="E64" s="503"/>
      <c r="F64" s="503"/>
      <c r="G64" s="503"/>
      <c r="H64" s="503"/>
      <c r="I64" s="503"/>
      <c r="J64" s="503"/>
      <c r="K64" s="2"/>
      <c r="L64" s="2"/>
      <c r="M64" s="2"/>
      <c r="N64" s="3">
        <f t="shared" si="7"/>
        <v>0</v>
      </c>
      <c r="P64" s="510">
        <f t="shared" si="16"/>
        <v>0</v>
      </c>
      <c r="S64" s="540">
        <f t="shared" si="2"/>
        <v>0</v>
      </c>
    </row>
    <row r="65" spans="1:19" x14ac:dyDescent="0.3">
      <c r="A65" s="20" t="s">
        <v>389</v>
      </c>
      <c r="B65" s="503"/>
      <c r="C65" s="503"/>
      <c r="D65" s="503"/>
      <c r="E65" s="503"/>
      <c r="F65" s="503"/>
      <c r="G65" s="503"/>
      <c r="H65" s="503"/>
      <c r="I65" s="503"/>
      <c r="J65" s="503"/>
      <c r="K65" s="226">
        <f>'BB Example 3 _ Cash Flows'!AX116</f>
        <v>5000</v>
      </c>
      <c r="L65" s="226">
        <f>'BB Example 3 _ Cash Flows'!AX144</f>
        <v>5000</v>
      </c>
      <c r="M65" s="226">
        <f>'BB Example 3 _ Cash Flows'!AX174</f>
        <v>5000</v>
      </c>
      <c r="N65" s="227">
        <f t="shared" si="7"/>
        <v>15000</v>
      </c>
      <c r="O65" s="228" t="s">
        <v>391</v>
      </c>
      <c r="P65" s="510">
        <f t="shared" si="16"/>
        <v>15000</v>
      </c>
      <c r="S65" s="540">
        <f t="shared" si="2"/>
        <v>0</v>
      </c>
    </row>
    <row r="66" spans="1:19" x14ac:dyDescent="0.3">
      <c r="A66" s="1" t="s">
        <v>71</v>
      </c>
      <c r="B66" s="504">
        <f>280</f>
        <v>280</v>
      </c>
      <c r="C66" s="504">
        <f>458.5</f>
        <v>458.5</v>
      </c>
      <c r="D66" s="504">
        <f>385</f>
        <v>385</v>
      </c>
      <c r="E66" s="504">
        <f>673.75</f>
        <v>673.75</v>
      </c>
      <c r="F66" s="504">
        <f>367.5</f>
        <v>367.5</v>
      </c>
      <c r="G66" s="503">
        <v>455</v>
      </c>
      <c r="H66" s="503">
        <v>420</v>
      </c>
      <c r="I66" s="503">
        <v>6142.41</v>
      </c>
      <c r="J66" s="503">
        <v>1950</v>
      </c>
      <c r="K66" s="226">
        <f>'BB Example 3 _ Cash Flows'!AV116</f>
        <v>800</v>
      </c>
      <c r="L66" s="226">
        <f>'BB Example 3 _ Cash Flows'!AV144</f>
        <v>800</v>
      </c>
      <c r="M66" s="226">
        <f>'BB Example 3 _ Cash Flows'!AV174</f>
        <v>800</v>
      </c>
      <c r="N66" s="227">
        <f t="shared" si="7"/>
        <v>13532.16</v>
      </c>
      <c r="O66" s="481" t="s">
        <v>357</v>
      </c>
      <c r="P66" s="510">
        <f t="shared" si="16"/>
        <v>10912.41</v>
      </c>
      <c r="S66" s="540">
        <f t="shared" si="2"/>
        <v>9182.16</v>
      </c>
    </row>
    <row r="67" spans="1:19" x14ac:dyDescent="0.3">
      <c r="A67" s="1" t="s">
        <v>72</v>
      </c>
      <c r="B67" s="503"/>
      <c r="C67" s="503"/>
      <c r="D67" s="503"/>
      <c r="E67" s="503"/>
      <c r="F67" s="504">
        <f>263.97</f>
        <v>263.97000000000003</v>
      </c>
      <c r="G67" s="504">
        <f>124.02</f>
        <v>124.02</v>
      </c>
      <c r="H67" s="504"/>
      <c r="I67" s="503"/>
      <c r="J67" s="503"/>
      <c r="K67" s="126"/>
      <c r="L67" s="126"/>
      <c r="M67" s="126"/>
      <c r="N67" s="3">
        <f>(((((((((((B67)+(C67))+(D67))+(E67))+(F67))+(G67))+(H67))+(I67))+(J67))+(K67))+(L67))+(M67)</f>
        <v>387.99</v>
      </c>
      <c r="P67" s="510">
        <f t="shared" si="16"/>
        <v>0</v>
      </c>
      <c r="S67" s="540">
        <f t="shared" si="2"/>
        <v>387.99</v>
      </c>
    </row>
    <row r="68" spans="1:19" x14ac:dyDescent="0.3">
      <c r="A68" s="1" t="s">
        <v>73</v>
      </c>
      <c r="B68" s="503"/>
      <c r="C68" s="503"/>
      <c r="D68" s="503"/>
      <c r="E68" s="504">
        <f>35.25</f>
        <v>35.25</v>
      </c>
      <c r="F68" s="503"/>
      <c r="G68" s="504">
        <f>122.74</f>
        <v>122.74</v>
      </c>
      <c r="H68" s="504">
        <f>4350.62</f>
        <v>4350.62</v>
      </c>
      <c r="I68" s="503"/>
      <c r="J68" s="503"/>
      <c r="K68" s="126"/>
      <c r="L68" s="126"/>
      <c r="M68" s="126"/>
      <c r="N68" s="3">
        <f>(((((((((((B68)+(C68))+(D68))+(E68))+(F68))+(G68))+(H68))+(I68))+(J68))+(K68))+(L68))+(M68)</f>
        <v>4508.6099999999997</v>
      </c>
      <c r="P68" s="510">
        <f t="shared" si="16"/>
        <v>4350.62</v>
      </c>
      <c r="S68" s="540">
        <f t="shared" si="2"/>
        <v>4508.6099999999997</v>
      </c>
    </row>
    <row r="69" spans="1:19" x14ac:dyDescent="0.3">
      <c r="A69" s="1" t="s">
        <v>74</v>
      </c>
      <c r="B69" s="504">
        <f>259.83</f>
        <v>259.83</v>
      </c>
      <c r="C69" s="504">
        <f>115.34</f>
        <v>115.34</v>
      </c>
      <c r="D69" s="504">
        <f>146.04</f>
        <v>146.04</v>
      </c>
      <c r="E69" s="504">
        <f>132.68</f>
        <v>132.68</v>
      </c>
      <c r="F69" s="504">
        <f>243.28</f>
        <v>243.28</v>
      </c>
      <c r="G69" s="504">
        <f>131.71</f>
        <v>131.71</v>
      </c>
      <c r="H69" s="504">
        <f>122.82</f>
        <v>122.82</v>
      </c>
      <c r="I69" s="503">
        <v>135.38999999999999</v>
      </c>
      <c r="J69" s="503">
        <v>191.27</v>
      </c>
      <c r="K69" s="2">
        <f>SUM('Example 1 _ Cash Flows'!AF112)</f>
        <v>150</v>
      </c>
      <c r="L69" s="2">
        <f>SUM('Example 1 _ Cash Flows'!AF138)</f>
        <v>150</v>
      </c>
      <c r="M69" s="2">
        <f>SUM('Example 1 _ Cash Flows'!AF166)</f>
        <v>150</v>
      </c>
      <c r="N69" s="3">
        <f t="shared" si="7"/>
        <v>1928.3599999999997</v>
      </c>
      <c r="P69" s="510">
        <f t="shared" si="16"/>
        <v>899.48</v>
      </c>
      <c r="S69" s="540">
        <f t="shared" si="2"/>
        <v>1287.0899999999997</v>
      </c>
    </row>
    <row r="70" spans="1:19" x14ac:dyDescent="0.3">
      <c r="A70" s="1" t="s">
        <v>75</v>
      </c>
      <c r="B70" s="504">
        <f>912.46</f>
        <v>912.46</v>
      </c>
      <c r="C70" s="504">
        <f>979.84</f>
        <v>979.84</v>
      </c>
      <c r="D70" s="504">
        <f>658.85</f>
        <v>658.85</v>
      </c>
      <c r="E70" s="504">
        <f>982.95</f>
        <v>982.95</v>
      </c>
      <c r="F70" s="504">
        <f>814.83</f>
        <v>814.83</v>
      </c>
      <c r="G70" s="504">
        <f>1166.7</f>
        <v>1166.7</v>
      </c>
      <c r="H70" s="504">
        <v>1716.09</v>
      </c>
      <c r="I70" s="503"/>
      <c r="J70" s="503">
        <v>649.70000000000005</v>
      </c>
      <c r="K70" s="2">
        <f>'Example 1 _ Cash Flows'!Y112</f>
        <v>778.6875</v>
      </c>
      <c r="L70" s="2">
        <f>'Example 1 _ Cash Flows'!Y138</f>
        <v>778.6875</v>
      </c>
      <c r="M70" s="2">
        <f>'Example 1 _ Cash Flows'!Y166</f>
        <v>778.6875</v>
      </c>
      <c r="N70" s="3">
        <f t="shared" si="7"/>
        <v>10217.4825</v>
      </c>
      <c r="P70" s="510">
        <f>SUM(I70:M70)</f>
        <v>2985.7624999999998</v>
      </c>
      <c r="S70" s="540">
        <f t="shared" si="2"/>
        <v>7231.72</v>
      </c>
    </row>
    <row r="71" spans="1:19" x14ac:dyDescent="0.3">
      <c r="A71" s="1" t="s">
        <v>76</v>
      </c>
      <c r="B71" s="504">
        <f>279.99</f>
        <v>279.99</v>
      </c>
      <c r="C71" s="504">
        <f>4359.99</f>
        <v>4359.99</v>
      </c>
      <c r="D71" s="503"/>
      <c r="E71" s="504">
        <f>1290</f>
        <v>1290</v>
      </c>
      <c r="F71" s="503"/>
      <c r="G71" s="503"/>
      <c r="H71" s="503"/>
      <c r="I71" s="503">
        <v>1110</v>
      </c>
      <c r="J71" s="503"/>
      <c r="K71" s="126"/>
      <c r="L71" s="126"/>
      <c r="M71" s="126"/>
      <c r="N71" s="3">
        <f t="shared" si="7"/>
        <v>7039.98</v>
      </c>
      <c r="P71" s="510">
        <f t="shared" si="16"/>
        <v>1110</v>
      </c>
      <c r="S71" s="540">
        <f t="shared" si="2"/>
        <v>7039.98</v>
      </c>
    </row>
    <row r="72" spans="1:19" x14ac:dyDescent="0.3">
      <c r="A72" s="1" t="s">
        <v>77</v>
      </c>
      <c r="B72" s="504">
        <f>66</f>
        <v>66</v>
      </c>
      <c r="C72" s="503"/>
      <c r="D72" s="503"/>
      <c r="E72" s="503"/>
      <c r="F72" s="503"/>
      <c r="G72" s="503"/>
      <c r="H72" s="504">
        <f>49</f>
        <v>49</v>
      </c>
      <c r="I72" s="503"/>
      <c r="J72" s="503"/>
      <c r="K72" s="126"/>
      <c r="L72" s="126"/>
      <c r="M72" s="126"/>
      <c r="N72" s="3">
        <f t="shared" si="7"/>
        <v>115</v>
      </c>
      <c r="P72" s="510">
        <f t="shared" si="16"/>
        <v>49</v>
      </c>
      <c r="S72" s="540">
        <f t="shared" si="2"/>
        <v>115</v>
      </c>
    </row>
    <row r="73" spans="1:19" x14ac:dyDescent="0.3">
      <c r="A73" s="1" t="s">
        <v>78</v>
      </c>
      <c r="B73" s="503"/>
      <c r="C73" s="504">
        <f>165.98</f>
        <v>165.98</v>
      </c>
      <c r="D73" s="504">
        <f>381.04</f>
        <v>381.04</v>
      </c>
      <c r="E73" s="504">
        <f>347.66</f>
        <v>347.66</v>
      </c>
      <c r="F73" s="504">
        <f>752.46</f>
        <v>752.46</v>
      </c>
      <c r="G73" s="504">
        <f>297.77</f>
        <v>297.77</v>
      </c>
      <c r="H73" s="503">
        <v>98.7</v>
      </c>
      <c r="I73" s="503">
        <v>179.01</v>
      </c>
      <c r="J73" s="503"/>
      <c r="K73" s="126"/>
      <c r="L73" s="126"/>
      <c r="M73" s="126"/>
      <c r="N73" s="3">
        <f t="shared" si="7"/>
        <v>2222.62</v>
      </c>
      <c r="P73" s="510">
        <f t="shared" si="16"/>
        <v>277.70999999999998</v>
      </c>
      <c r="S73" s="540">
        <f t="shared" si="2"/>
        <v>2222.62</v>
      </c>
    </row>
    <row r="74" spans="1:19" x14ac:dyDescent="0.3">
      <c r="A74" s="1" t="s">
        <v>79</v>
      </c>
      <c r="B74" s="504">
        <f>1317.74</f>
        <v>1317.74</v>
      </c>
      <c r="C74" s="504">
        <f>568.94</f>
        <v>568.94000000000005</v>
      </c>
      <c r="D74" s="504">
        <f>131.25</f>
        <v>131.25</v>
      </c>
      <c r="E74" s="504">
        <f>53.93</f>
        <v>53.93</v>
      </c>
      <c r="F74" s="504">
        <f>878</f>
        <v>878</v>
      </c>
      <c r="G74" s="504">
        <v>984.9</v>
      </c>
      <c r="H74" s="504">
        <v>178.83</v>
      </c>
      <c r="I74" s="503"/>
      <c r="J74" s="503">
        <v>9.7799999999999994</v>
      </c>
      <c r="K74" s="126"/>
      <c r="L74" s="126"/>
      <c r="M74" s="126"/>
      <c r="N74" s="3">
        <f t="shared" si="7"/>
        <v>4123.37</v>
      </c>
      <c r="P74" s="510">
        <f t="shared" si="16"/>
        <v>188.61</v>
      </c>
      <c r="S74" s="540">
        <f t="shared" ref="S74:S101" si="20">SUM(B74:I74)</f>
        <v>4113.59</v>
      </c>
    </row>
    <row r="75" spans="1:19" x14ac:dyDescent="0.3">
      <c r="A75" s="1" t="s">
        <v>80</v>
      </c>
      <c r="B75" s="504">
        <f>51.8</f>
        <v>51.8</v>
      </c>
      <c r="C75" s="504">
        <f>524.53</f>
        <v>524.53</v>
      </c>
      <c r="D75" s="504">
        <f>111.95</f>
        <v>111.95</v>
      </c>
      <c r="E75" s="504">
        <f>213.08</f>
        <v>213.08</v>
      </c>
      <c r="F75" s="504">
        <f>304.39</f>
        <v>304.39</v>
      </c>
      <c r="G75" s="504">
        <f>100.45</f>
        <v>100.45</v>
      </c>
      <c r="H75" s="504">
        <v>150.86000000000001</v>
      </c>
      <c r="I75" s="503">
        <v>1.8</v>
      </c>
      <c r="J75" s="503"/>
      <c r="K75" s="126"/>
      <c r="L75" s="126"/>
      <c r="M75" s="126"/>
      <c r="N75" s="3">
        <f t="shared" si="7"/>
        <v>1458.86</v>
      </c>
      <c r="P75" s="510">
        <f t="shared" si="16"/>
        <v>152.66000000000003</v>
      </c>
      <c r="S75" s="540">
        <f t="shared" si="20"/>
        <v>1458.86</v>
      </c>
    </row>
    <row r="76" spans="1:19" x14ac:dyDescent="0.3">
      <c r="A76" s="1" t="s">
        <v>81</v>
      </c>
      <c r="B76" s="504">
        <f>817.24</f>
        <v>817.24</v>
      </c>
      <c r="C76" s="504">
        <f>1413.11</f>
        <v>1413.11</v>
      </c>
      <c r="D76" s="504">
        <f>1005.44</f>
        <v>1005.44</v>
      </c>
      <c r="E76" s="504">
        <f>2662.69</f>
        <v>2662.69</v>
      </c>
      <c r="F76" s="504">
        <f>3020.58</f>
        <v>3020.58</v>
      </c>
      <c r="G76" s="504">
        <f>395.97</f>
        <v>395.97</v>
      </c>
      <c r="H76" s="503">
        <v>734.51</v>
      </c>
      <c r="I76" s="503">
        <v>948.82</v>
      </c>
      <c r="J76" s="503">
        <v>685.06</v>
      </c>
      <c r="K76" s="2">
        <f>'Mid Year Budget _ Cash Flows '!BD128</f>
        <v>4340</v>
      </c>
      <c r="L76" s="2">
        <f>'Mid Year Budget _ Cash Flows '!BD157</f>
        <v>1750</v>
      </c>
      <c r="M76" s="2">
        <f>'Mid Year Budget _ Cash Flows '!BD189</f>
        <v>1750</v>
      </c>
      <c r="N76" s="3">
        <f t="shared" si="7"/>
        <v>19523.419999999998</v>
      </c>
      <c r="P76" s="510">
        <f t="shared" si="16"/>
        <v>10208.39</v>
      </c>
      <c r="S76" s="540">
        <f t="shared" si="20"/>
        <v>10998.359999999999</v>
      </c>
    </row>
    <row r="77" spans="1:19" x14ac:dyDescent="0.3">
      <c r="A77" s="1" t="s">
        <v>82</v>
      </c>
      <c r="B77" s="505">
        <f t="shared" ref="B77:M77" si="21">(((((((((((B65)+(B66))+(B67))+(B68))+(B69))+(B70))+(B71))+(B72))+(B73))+(B74))+(B75))+(B76)</f>
        <v>3985.0600000000004</v>
      </c>
      <c r="C77" s="505">
        <f t="shared" si="21"/>
        <v>8586.23</v>
      </c>
      <c r="D77" s="505">
        <f t="shared" si="21"/>
        <v>2819.5699999999997</v>
      </c>
      <c r="E77" s="505">
        <f t="shared" si="21"/>
        <v>6391.99</v>
      </c>
      <c r="F77" s="505">
        <f t="shared" si="21"/>
        <v>6645.01</v>
      </c>
      <c r="G77" s="505">
        <f t="shared" si="21"/>
        <v>3779.26</v>
      </c>
      <c r="H77" s="505">
        <f t="shared" si="21"/>
        <v>7821.4299999999994</v>
      </c>
      <c r="I77" s="505">
        <f>(((((((((((I65)+(I66))+(I67))+(I68))+(I69))+(I70))+(I71))+(I72))+(I73))+(I74))+(I75))+(I76)</f>
        <v>8517.43</v>
      </c>
      <c r="J77" s="505">
        <f t="shared" si="21"/>
        <v>3485.8100000000004</v>
      </c>
      <c r="K77" s="4">
        <f t="shared" si="21"/>
        <v>11068.6875</v>
      </c>
      <c r="L77" s="4">
        <f t="shared" si="21"/>
        <v>8478.6875</v>
      </c>
      <c r="M77" s="4">
        <f t="shared" si="21"/>
        <v>8478.6875</v>
      </c>
      <c r="N77" s="4">
        <f t="shared" si="7"/>
        <v>80057.852500000008</v>
      </c>
      <c r="P77" s="510">
        <f t="shared" si="16"/>
        <v>47850.732499999998</v>
      </c>
      <c r="S77" s="540">
        <f t="shared" si="20"/>
        <v>48545.98</v>
      </c>
    </row>
    <row r="78" spans="1:19" x14ac:dyDescent="0.3">
      <c r="A78" s="1" t="s">
        <v>83</v>
      </c>
      <c r="B78" s="503"/>
      <c r="C78" s="503"/>
      <c r="D78" s="503"/>
      <c r="E78" s="503"/>
      <c r="F78" s="503"/>
      <c r="G78" s="503"/>
      <c r="H78" s="503"/>
      <c r="I78" s="503"/>
      <c r="J78" s="503"/>
      <c r="K78" s="2"/>
      <c r="L78" s="2"/>
      <c r="M78" s="2"/>
      <c r="N78" s="3">
        <f t="shared" si="7"/>
        <v>0</v>
      </c>
      <c r="P78" s="510">
        <f t="shared" si="16"/>
        <v>0</v>
      </c>
      <c r="S78" s="540">
        <f t="shared" si="20"/>
        <v>0</v>
      </c>
    </row>
    <row r="79" spans="1:19" x14ac:dyDescent="0.3">
      <c r="A79" s="1" t="s">
        <v>84</v>
      </c>
      <c r="B79" s="504">
        <f>2530</f>
        <v>2530</v>
      </c>
      <c r="C79" s="504">
        <f>2350</f>
        <v>2350</v>
      </c>
      <c r="D79" s="504">
        <f>2350</f>
        <v>2350</v>
      </c>
      <c r="E79" s="504">
        <f>2350</f>
        <v>2350</v>
      </c>
      <c r="F79" s="504">
        <f>2350</f>
        <v>2350</v>
      </c>
      <c r="G79" s="504">
        <f>2350</f>
        <v>2350</v>
      </c>
      <c r="H79" s="504">
        <f>2350</f>
        <v>2350</v>
      </c>
      <c r="I79" s="506">
        <v>2900</v>
      </c>
      <c r="J79" s="503">
        <f>'Example 1 _ Cash Flows'!AC83</f>
        <v>2350</v>
      </c>
      <c r="K79" s="2">
        <f>'Example 1 _ Cash Flows'!AC112</f>
        <v>2350</v>
      </c>
      <c r="L79" s="2">
        <f>'Example 1 _ Cash Flows'!AC138</f>
        <v>2350</v>
      </c>
      <c r="M79" s="2">
        <f>'Example 1 _ Cash Flows'!AC166</f>
        <v>2350</v>
      </c>
      <c r="N79" s="3">
        <f t="shared" si="7"/>
        <v>28930</v>
      </c>
      <c r="P79" s="510">
        <f>SUM(I79:M79)</f>
        <v>12300</v>
      </c>
      <c r="S79" s="540">
        <f t="shared" si="20"/>
        <v>19530</v>
      </c>
    </row>
    <row r="80" spans="1:19" x14ac:dyDescent="0.3">
      <c r="A80" s="1" t="s">
        <v>85</v>
      </c>
      <c r="B80" s="504">
        <f>2126.31</f>
        <v>2126.31</v>
      </c>
      <c r="C80" s="503"/>
      <c r="D80" s="503"/>
      <c r="E80" s="503"/>
      <c r="F80" s="503"/>
      <c r="G80" s="503"/>
      <c r="H80" s="503"/>
      <c r="I80" s="503"/>
      <c r="J80" s="503"/>
      <c r="K80" s="126"/>
      <c r="L80" s="126"/>
      <c r="M80" s="126"/>
      <c r="N80" s="3">
        <f t="shared" si="7"/>
        <v>2126.31</v>
      </c>
      <c r="P80" s="510">
        <f t="shared" si="16"/>
        <v>0</v>
      </c>
      <c r="S80" s="540">
        <f t="shared" si="20"/>
        <v>2126.31</v>
      </c>
    </row>
    <row r="81" spans="1:19" x14ac:dyDescent="0.3">
      <c r="A81" s="1" t="s">
        <v>86</v>
      </c>
      <c r="B81" s="504">
        <f>687.41</f>
        <v>687.41</v>
      </c>
      <c r="C81" s="504">
        <f>483.45</f>
        <v>483.45</v>
      </c>
      <c r="D81" s="504">
        <f>318.7</f>
        <v>318.7</v>
      </c>
      <c r="E81" s="504">
        <f>819.87</f>
        <v>819.87</v>
      </c>
      <c r="F81" s="504">
        <f>339.41</f>
        <v>339.41</v>
      </c>
      <c r="G81" s="504">
        <v>218.49</v>
      </c>
      <c r="H81" s="504">
        <v>82.45</v>
      </c>
      <c r="I81" s="503">
        <v>294.95</v>
      </c>
      <c r="J81" s="503">
        <v>414.21</v>
      </c>
      <c r="K81" s="2">
        <f>'Example 1 _ Cash Flows'!U112</f>
        <v>294.95</v>
      </c>
      <c r="L81" s="2">
        <f>'Example 1 _ Cash Flows'!U138</f>
        <v>294.95</v>
      </c>
      <c r="M81" s="2">
        <f>'Example 1 _ Cash Flows'!U166</f>
        <v>294.95</v>
      </c>
      <c r="N81" s="3">
        <f t="shared" si="7"/>
        <v>4543.7899999999991</v>
      </c>
      <c r="P81" s="510">
        <f t="shared" si="16"/>
        <v>1676.46</v>
      </c>
      <c r="S81" s="540">
        <f t="shared" si="20"/>
        <v>3244.7299999999996</v>
      </c>
    </row>
    <row r="82" spans="1:19" x14ac:dyDescent="0.3">
      <c r="A82" s="1" t="s">
        <v>87</v>
      </c>
      <c r="B82" s="503"/>
      <c r="C82" s="504">
        <f>62.58</f>
        <v>62.58</v>
      </c>
      <c r="D82" s="503"/>
      <c r="E82" s="503"/>
      <c r="F82" s="503"/>
      <c r="G82" s="503"/>
      <c r="H82" s="503"/>
      <c r="I82" s="503"/>
      <c r="J82" s="503"/>
      <c r="K82" s="126"/>
      <c r="L82" s="126"/>
      <c r="M82" s="126"/>
      <c r="N82" s="3">
        <f t="shared" si="7"/>
        <v>62.58</v>
      </c>
      <c r="P82" s="510">
        <f t="shared" si="16"/>
        <v>0</v>
      </c>
      <c r="S82" s="540">
        <f t="shared" si="20"/>
        <v>62.58</v>
      </c>
    </row>
    <row r="83" spans="1:19" x14ac:dyDescent="0.3">
      <c r="A83" s="1" t="s">
        <v>88</v>
      </c>
      <c r="B83" s="504">
        <f>970.79</f>
        <v>970.79</v>
      </c>
      <c r="C83" s="504">
        <f>912.44</f>
        <v>912.44</v>
      </c>
      <c r="D83" s="504">
        <f>1010.57</f>
        <v>1010.57</v>
      </c>
      <c r="E83" s="504">
        <f>870.18</f>
        <v>870.18</v>
      </c>
      <c r="F83" s="504">
        <f>813.03</f>
        <v>813.03</v>
      </c>
      <c r="G83" s="504">
        <v>862.9</v>
      </c>
      <c r="H83" s="504">
        <v>908.65</v>
      </c>
      <c r="I83" s="504">
        <v>761.58</v>
      </c>
      <c r="J83" s="504">
        <v>1009.35</v>
      </c>
      <c r="K83" s="3">
        <f>200+'Example 1 _ Cash Flows'!V112</f>
        <v>908.65</v>
      </c>
      <c r="L83" s="3">
        <f>200+'Example 1 _ Cash Flows'!V138</f>
        <v>908.65</v>
      </c>
      <c r="M83" s="3">
        <f>200+'Example 1 _ Cash Flows'!V166</f>
        <v>908.65</v>
      </c>
      <c r="N83" s="3">
        <f t="shared" si="7"/>
        <v>10845.439999999999</v>
      </c>
      <c r="P83" s="511">
        <f>SUM(I83:M83)</f>
        <v>4496.88</v>
      </c>
      <c r="S83" s="540">
        <f t="shared" si="20"/>
        <v>7110.1399999999994</v>
      </c>
    </row>
    <row r="84" spans="1:19" x14ac:dyDescent="0.3">
      <c r="A84" s="1" t="s">
        <v>89</v>
      </c>
      <c r="B84" s="504">
        <f>719.91</f>
        <v>719.91</v>
      </c>
      <c r="C84" s="504">
        <f>813.28</f>
        <v>813.28</v>
      </c>
      <c r="D84" s="504">
        <f>831.52</f>
        <v>831.52</v>
      </c>
      <c r="E84" s="504">
        <f>735.63</f>
        <v>735.63</v>
      </c>
      <c r="F84" s="504">
        <f>532.08</f>
        <v>532.08000000000004</v>
      </c>
      <c r="G84" s="504">
        <f>835.76</f>
        <v>835.76</v>
      </c>
      <c r="H84" s="504">
        <v>874.28</v>
      </c>
      <c r="I84" s="504">
        <v>964.62</v>
      </c>
      <c r="J84" s="503">
        <v>521</v>
      </c>
      <c r="K84" s="2">
        <f>SUM('Example 1 _ Cash Flows'!W112)</f>
        <v>779.72749999999996</v>
      </c>
      <c r="L84" s="2">
        <f>SUM('Example 1 _ Cash Flows'!W138)</f>
        <v>779.72749999999996</v>
      </c>
      <c r="M84" s="2">
        <f>SUM('Example 1 _ Cash Flows'!W166)</f>
        <v>779.72749999999996</v>
      </c>
      <c r="N84" s="3">
        <f t="shared" ref="N84:N101" si="22">(((((((((((B84)+(C84))+(D84))+(E84))+(F84))+(G84))+(H84))+(I84))+(J84))+(K84))+(L84))+(M84)</f>
        <v>9167.2625000000007</v>
      </c>
      <c r="P84" s="511">
        <f>SUM(H84:M84)</f>
        <v>4699.0825000000004</v>
      </c>
      <c r="S84" s="540">
        <f t="shared" si="20"/>
        <v>6307.08</v>
      </c>
    </row>
    <row r="85" spans="1:19" x14ac:dyDescent="0.3">
      <c r="A85" s="1" t="s">
        <v>90</v>
      </c>
      <c r="B85" s="504">
        <f t="shared" ref="B85:G85" si="23">281.32</f>
        <v>281.32</v>
      </c>
      <c r="C85" s="504">
        <f t="shared" si="23"/>
        <v>281.32</v>
      </c>
      <c r="D85" s="504">
        <f t="shared" si="23"/>
        <v>281.32</v>
      </c>
      <c r="E85" s="504">
        <f t="shared" si="23"/>
        <v>281.32</v>
      </c>
      <c r="F85" s="504">
        <f t="shared" si="23"/>
        <v>281.32</v>
      </c>
      <c r="G85" s="504">
        <f t="shared" si="23"/>
        <v>281.32</v>
      </c>
      <c r="H85" s="503">
        <v>281.32</v>
      </c>
      <c r="I85" s="503">
        <v>281.32</v>
      </c>
      <c r="J85" s="503">
        <v>1014.91</v>
      </c>
      <c r="K85" s="126"/>
      <c r="L85" s="126"/>
      <c r="M85" s="126"/>
      <c r="N85" s="3">
        <f t="shared" si="22"/>
        <v>3265.47</v>
      </c>
      <c r="P85" s="510">
        <f t="shared" si="16"/>
        <v>1577.55</v>
      </c>
      <c r="S85" s="540">
        <f t="shared" si="20"/>
        <v>2250.56</v>
      </c>
    </row>
    <row r="86" spans="1:19" x14ac:dyDescent="0.3">
      <c r="A86" s="1" t="s">
        <v>91</v>
      </c>
      <c r="B86" s="505">
        <f>SUM(B78:B85)</f>
        <v>7315.7399999999989</v>
      </c>
      <c r="C86" s="505">
        <f t="shared" ref="C86:J86" si="24">SUM(C78:C85)</f>
        <v>4903.07</v>
      </c>
      <c r="D86" s="505">
        <f t="shared" si="24"/>
        <v>4792.1099999999997</v>
      </c>
      <c r="E86" s="505">
        <f t="shared" si="24"/>
        <v>5056.9999999999991</v>
      </c>
      <c r="F86" s="505">
        <f t="shared" si="24"/>
        <v>4315.8399999999992</v>
      </c>
      <c r="G86" s="505">
        <f t="shared" si="24"/>
        <v>4548.4699999999993</v>
      </c>
      <c r="H86" s="505">
        <f t="shared" si="24"/>
        <v>4496.7</v>
      </c>
      <c r="I86" s="505">
        <f t="shared" si="24"/>
        <v>5202.4699999999993</v>
      </c>
      <c r="J86" s="505">
        <f t="shared" si="24"/>
        <v>5309.4699999999993</v>
      </c>
      <c r="K86" s="500">
        <f t="shared" ref="K86" si="25">SUM(K78:K85)</f>
        <v>4333.3274999999994</v>
      </c>
      <c r="L86" s="500">
        <f t="shared" ref="L86" si="26">SUM(L78:L85)</f>
        <v>4333.3274999999994</v>
      </c>
      <c r="M86" s="500">
        <f t="shared" ref="M86" si="27">SUM(M78:M85)</f>
        <v>4333.3274999999994</v>
      </c>
      <c r="N86" s="4">
        <f t="shared" si="22"/>
        <v>58940.852499999994</v>
      </c>
      <c r="P86" s="510">
        <f t="shared" si="16"/>
        <v>28008.622499999998</v>
      </c>
      <c r="S86" s="540">
        <f t="shared" si="20"/>
        <v>40631.399999999994</v>
      </c>
    </row>
    <row r="87" spans="1:19" x14ac:dyDescent="0.3">
      <c r="A87" s="1" t="s">
        <v>92</v>
      </c>
      <c r="B87" s="505">
        <f t="shared" ref="B87:M87" si="28">((B64)+(B77))+(B86)</f>
        <v>11300.8</v>
      </c>
      <c r="C87" s="505">
        <f t="shared" si="28"/>
        <v>13489.3</v>
      </c>
      <c r="D87" s="505">
        <f t="shared" si="28"/>
        <v>7611.6799999999994</v>
      </c>
      <c r="E87" s="505">
        <f t="shared" si="28"/>
        <v>11448.989999999998</v>
      </c>
      <c r="F87" s="505">
        <f t="shared" si="28"/>
        <v>10960.849999999999</v>
      </c>
      <c r="G87" s="505">
        <f t="shared" si="28"/>
        <v>8327.73</v>
      </c>
      <c r="H87" s="505">
        <f t="shared" si="28"/>
        <v>12318.13</v>
      </c>
      <c r="I87" s="505">
        <f t="shared" si="28"/>
        <v>13719.9</v>
      </c>
      <c r="J87" s="505">
        <f t="shared" si="28"/>
        <v>8795.2799999999988</v>
      </c>
      <c r="K87" s="4">
        <f t="shared" si="28"/>
        <v>15402.014999999999</v>
      </c>
      <c r="L87" s="4">
        <f t="shared" si="28"/>
        <v>12812.014999999999</v>
      </c>
      <c r="M87" s="4">
        <f t="shared" si="28"/>
        <v>12812.014999999999</v>
      </c>
      <c r="N87" s="4">
        <f t="shared" si="22"/>
        <v>138998.70499999999</v>
      </c>
      <c r="P87" s="510">
        <f t="shared" si="16"/>
        <v>75859.354999999996</v>
      </c>
      <c r="S87" s="540">
        <f t="shared" si="20"/>
        <v>89177.37999999999</v>
      </c>
    </row>
    <row r="88" spans="1:19" x14ac:dyDescent="0.3">
      <c r="A88" s="1" t="s">
        <v>93</v>
      </c>
      <c r="B88" s="503"/>
      <c r="C88" s="503"/>
      <c r="D88" s="503"/>
      <c r="E88" s="503"/>
      <c r="F88" s="503"/>
      <c r="G88" s="503"/>
      <c r="H88" s="503"/>
      <c r="I88" s="503"/>
      <c r="J88" s="503"/>
      <c r="K88" s="2"/>
      <c r="L88" s="2"/>
      <c r="M88" s="2"/>
      <c r="N88" s="3">
        <f t="shared" si="22"/>
        <v>0</v>
      </c>
      <c r="P88" s="510">
        <f t="shared" si="16"/>
        <v>0</v>
      </c>
      <c r="S88" s="540">
        <f t="shared" si="20"/>
        <v>0</v>
      </c>
    </row>
    <row r="89" spans="1:19" x14ac:dyDescent="0.3">
      <c r="A89" s="1" t="s">
        <v>94</v>
      </c>
      <c r="B89" s="504">
        <f>35925.44</f>
        <v>35925.440000000002</v>
      </c>
      <c r="C89" s="504">
        <f>34250.9</f>
        <v>34250.9</v>
      </c>
      <c r="D89" s="504">
        <f>35708.8</f>
        <v>35708.800000000003</v>
      </c>
      <c r="E89" s="504">
        <f>25010.27</f>
        <v>25010.27</v>
      </c>
      <c r="F89" s="504">
        <f>28301.02</f>
        <v>28301.02</v>
      </c>
      <c r="G89" s="504">
        <v>26814.25</v>
      </c>
      <c r="H89" s="504">
        <f>26989.52</f>
        <v>26989.52</v>
      </c>
      <c r="I89" s="503">
        <v>19870.150000000001</v>
      </c>
      <c r="J89" s="503">
        <v>27273.52</v>
      </c>
      <c r="K89" s="226">
        <f>SUM('BB Example 2 _ Cash Flows'!AH110)</f>
        <v>20000</v>
      </c>
      <c r="L89" s="226">
        <f>SUM('BB Example 2 _ Cash Flows'!AH136)</f>
        <v>20000</v>
      </c>
      <c r="M89" s="226">
        <f>SUM('BB Example 2 _ Cash Flows'!AH164)</f>
        <v>20000</v>
      </c>
      <c r="N89" s="227">
        <f t="shared" si="22"/>
        <v>320143.87</v>
      </c>
      <c r="O89" s="481" t="s">
        <v>404</v>
      </c>
      <c r="P89" s="510">
        <f>SUM(I89:M89)</f>
        <v>107143.67</v>
      </c>
      <c r="S89" s="540">
        <f t="shared" si="20"/>
        <v>232870.34999999998</v>
      </c>
    </row>
    <row r="90" spans="1:19" x14ac:dyDescent="0.3">
      <c r="A90" s="1" t="s">
        <v>95</v>
      </c>
      <c r="B90" s="504">
        <f>138</f>
        <v>138</v>
      </c>
      <c r="C90" s="504">
        <f>538.46</f>
        <v>538.46</v>
      </c>
      <c r="D90" s="504">
        <f>4081.2</f>
        <v>4081.2</v>
      </c>
      <c r="E90" s="504">
        <f>3500</f>
        <v>3500</v>
      </c>
      <c r="F90" s="504">
        <f>0</f>
        <v>0</v>
      </c>
      <c r="G90" s="504">
        <v>830.77</v>
      </c>
      <c r="H90" s="503"/>
      <c r="I90" s="503">
        <v>7989.08</v>
      </c>
      <c r="J90" s="503">
        <v>2412.96</v>
      </c>
      <c r="K90" s="226">
        <f>'BB Example 2 _ Cash Flows'!AI110</f>
        <v>1500</v>
      </c>
      <c r="L90" s="226">
        <f>'BB Example 2 _ Cash Flows'!AI136</f>
        <v>1500</v>
      </c>
      <c r="M90" s="226">
        <f>'BB Example 2 _ Cash Flows'!AI164</f>
        <v>1500</v>
      </c>
      <c r="N90" s="227">
        <f t="shared" si="22"/>
        <v>23990.47</v>
      </c>
      <c r="O90" s="481" t="s">
        <v>404</v>
      </c>
      <c r="P90" s="510">
        <f t="shared" ref="P90:P97" si="29">SUM(I90:M90)</f>
        <v>14902.04</v>
      </c>
      <c r="S90" s="540">
        <f t="shared" si="20"/>
        <v>17077.510000000002</v>
      </c>
    </row>
    <row r="91" spans="1:19" x14ac:dyDescent="0.3">
      <c r="A91" s="1" t="s">
        <v>96</v>
      </c>
      <c r="B91" s="504">
        <f>2979.87</f>
        <v>2979.87</v>
      </c>
      <c r="C91" s="504">
        <f>3003.23</f>
        <v>3003.23</v>
      </c>
      <c r="D91" s="504">
        <f>3102.92</f>
        <v>3102.92</v>
      </c>
      <c r="E91" s="504">
        <f>2247.14</f>
        <v>2247.14</v>
      </c>
      <c r="F91" s="504">
        <f>2295.92</f>
        <v>2295.92</v>
      </c>
      <c r="G91" s="504">
        <f>2114.85</f>
        <v>2114.85</v>
      </c>
      <c r="H91" s="504">
        <v>3628.66</v>
      </c>
      <c r="I91" s="503">
        <v>4684.43</v>
      </c>
      <c r="J91" s="503">
        <v>2291.7600000000002</v>
      </c>
      <c r="K91" s="226">
        <f>'BB Example 2 _ Cash Flows'!AJ110</f>
        <v>3000</v>
      </c>
      <c r="L91" s="226">
        <f>'BB Example 2 _ Cash Flows'!AJ136</f>
        <v>3000</v>
      </c>
      <c r="M91" s="226">
        <f>'BB Example 2 _ Cash Flows'!AJ164</f>
        <v>3000</v>
      </c>
      <c r="N91" s="227">
        <f t="shared" si="22"/>
        <v>35348.78</v>
      </c>
      <c r="O91" s="481" t="s">
        <v>404</v>
      </c>
      <c r="P91" s="510">
        <f t="shared" si="29"/>
        <v>15976.19</v>
      </c>
      <c r="S91" s="540">
        <f t="shared" si="20"/>
        <v>24057.02</v>
      </c>
    </row>
    <row r="92" spans="1:19" x14ac:dyDescent="0.3">
      <c r="A92" s="1" t="s">
        <v>97</v>
      </c>
      <c r="B92" s="504">
        <f>53</f>
        <v>53</v>
      </c>
      <c r="C92" s="504">
        <f>53</f>
        <v>53</v>
      </c>
      <c r="D92" s="504">
        <f>53</f>
        <v>53</v>
      </c>
      <c r="E92" s="504">
        <f>51</f>
        <v>51</v>
      </c>
      <c r="F92" s="504">
        <f>51</f>
        <v>51</v>
      </c>
      <c r="G92" s="504">
        <f>51</f>
        <v>51</v>
      </c>
      <c r="H92" s="503">
        <v>758.69</v>
      </c>
      <c r="I92" s="503"/>
      <c r="J92" s="503">
        <v>51</v>
      </c>
      <c r="K92" s="2">
        <f>'Example 1 _ Cash Flows'!AR112</f>
        <v>63.75</v>
      </c>
      <c r="L92" s="2">
        <f>'Example 1 _ Cash Flows'!AR138</f>
        <v>63.75</v>
      </c>
      <c r="M92" s="2">
        <f>'Example 1 _ Cash Flows'!AR166</f>
        <v>63.75</v>
      </c>
      <c r="N92" s="3">
        <f t="shared" si="22"/>
        <v>1312.94</v>
      </c>
      <c r="P92" s="510">
        <f t="shared" si="29"/>
        <v>242.25</v>
      </c>
      <c r="S92" s="540">
        <f t="shared" si="20"/>
        <v>1070.69</v>
      </c>
    </row>
    <row r="93" spans="1:19" x14ac:dyDescent="0.3">
      <c r="A93" s="1" t="s">
        <v>98</v>
      </c>
      <c r="B93" s="504">
        <f>2704</f>
        <v>2704</v>
      </c>
      <c r="C93" s="503"/>
      <c r="D93" s="503"/>
      <c r="E93" s="504">
        <f>-532</f>
        <v>-532</v>
      </c>
      <c r="F93" s="503"/>
      <c r="G93" s="503"/>
      <c r="H93" s="503"/>
      <c r="I93" s="503"/>
      <c r="J93" s="503"/>
      <c r="K93" s="126"/>
      <c r="L93" s="126"/>
      <c r="M93" s="126"/>
      <c r="N93" s="3">
        <f t="shared" si="22"/>
        <v>2172</v>
      </c>
      <c r="P93" s="510">
        <f t="shared" si="29"/>
        <v>0</v>
      </c>
      <c r="S93" s="540">
        <f t="shared" si="20"/>
        <v>2172</v>
      </c>
    </row>
    <row r="94" spans="1:19" x14ac:dyDescent="0.3">
      <c r="A94" s="1" t="s">
        <v>99</v>
      </c>
      <c r="B94" s="504">
        <f>2700</f>
        <v>2700</v>
      </c>
      <c r="C94" s="504">
        <f>2700</f>
        <v>2700</v>
      </c>
      <c r="D94" s="504">
        <f>2950</f>
        <v>2950</v>
      </c>
      <c r="E94" s="504">
        <f>2450</f>
        <v>2450</v>
      </c>
      <c r="F94" s="504">
        <f>2700</f>
        <v>2700</v>
      </c>
      <c r="G94" s="504">
        <f>2700</f>
        <v>2700</v>
      </c>
      <c r="H94" s="504">
        <f>2700</f>
        <v>2700</v>
      </c>
      <c r="I94" s="503">
        <v>2950</v>
      </c>
      <c r="J94" s="503">
        <v>2700</v>
      </c>
      <c r="K94" s="226">
        <f>'BB Example 2 _ Cash Flows'!AG110</f>
        <v>2020</v>
      </c>
      <c r="L94" s="226">
        <f>'BB Example 2 _ Cash Flows'!AG136</f>
        <v>2020</v>
      </c>
      <c r="M94" s="226">
        <f>'BB Example 2 _ Cash Flows'!AG164</f>
        <v>2020</v>
      </c>
      <c r="N94" s="227">
        <f t="shared" si="22"/>
        <v>30610</v>
      </c>
      <c r="O94" s="481" t="s">
        <v>404</v>
      </c>
      <c r="P94" s="510">
        <f t="shared" si="29"/>
        <v>11710</v>
      </c>
      <c r="S94" s="540">
        <f t="shared" si="20"/>
        <v>21850</v>
      </c>
    </row>
    <row r="95" spans="1:19" x14ac:dyDescent="0.3">
      <c r="A95" s="1" t="s">
        <v>100</v>
      </c>
      <c r="B95" s="503"/>
      <c r="C95" s="503"/>
      <c r="D95" s="503"/>
      <c r="E95" s="503"/>
      <c r="F95" s="504">
        <f>58.79</f>
        <v>58.79</v>
      </c>
      <c r="G95" s="503">
        <v>537.44000000000005</v>
      </c>
      <c r="H95" s="503">
        <v>99.27</v>
      </c>
      <c r="I95" s="503"/>
      <c r="J95" s="503"/>
      <c r="K95" s="126"/>
      <c r="L95" s="126"/>
      <c r="M95" s="126"/>
      <c r="N95" s="3">
        <f t="shared" si="22"/>
        <v>695.5</v>
      </c>
      <c r="P95" s="510">
        <f t="shared" si="29"/>
        <v>0</v>
      </c>
      <c r="S95" s="540">
        <f t="shared" si="20"/>
        <v>695.5</v>
      </c>
    </row>
    <row r="96" spans="1:19" x14ac:dyDescent="0.3">
      <c r="A96" s="1" t="s">
        <v>101</v>
      </c>
      <c r="B96" s="504">
        <f>200</f>
        <v>200</v>
      </c>
      <c r="C96" s="504">
        <f>200</f>
        <v>200</v>
      </c>
      <c r="D96" s="504">
        <f>200</f>
        <v>200</v>
      </c>
      <c r="E96" s="504">
        <f>200</f>
        <v>200</v>
      </c>
      <c r="F96" s="504">
        <f>200</f>
        <v>200</v>
      </c>
      <c r="G96" s="504">
        <f>462.5</f>
        <v>462.5</v>
      </c>
      <c r="H96" s="504">
        <f>200</f>
        <v>200</v>
      </c>
      <c r="I96" s="504">
        <v>200</v>
      </c>
      <c r="J96" s="504">
        <v>200</v>
      </c>
      <c r="K96" s="3">
        <f>200+'Example 1 _ Cash Flows'!AK112</f>
        <v>450</v>
      </c>
      <c r="L96" s="3">
        <f>200+'Example 1 _ Cash Flows'!AK138</f>
        <v>450</v>
      </c>
      <c r="M96" s="3">
        <f>200+'Example 1 _ Cash Flows'!AK166</f>
        <v>450</v>
      </c>
      <c r="N96" s="3">
        <f t="shared" si="22"/>
        <v>3412.5</v>
      </c>
      <c r="P96" s="510">
        <f t="shared" si="29"/>
        <v>1750</v>
      </c>
      <c r="S96" s="540">
        <f t="shared" si="20"/>
        <v>1862.5</v>
      </c>
    </row>
    <row r="97" spans="1:19" x14ac:dyDescent="0.3">
      <c r="A97" s="1" t="s">
        <v>102</v>
      </c>
      <c r="B97" s="504">
        <f>163.92</f>
        <v>163.92</v>
      </c>
      <c r="C97" s="503"/>
      <c r="D97" s="503"/>
      <c r="E97" s="503"/>
      <c r="F97" s="504">
        <f>166.24</f>
        <v>166.24</v>
      </c>
      <c r="G97" s="504"/>
      <c r="H97" s="503"/>
      <c r="I97" s="503"/>
      <c r="J97" s="503"/>
      <c r="K97" s="126"/>
      <c r="L97" s="126"/>
      <c r="M97" s="126"/>
      <c r="N97" s="3">
        <f t="shared" si="22"/>
        <v>330.15999999999997</v>
      </c>
      <c r="P97" s="510">
        <f t="shared" si="29"/>
        <v>0</v>
      </c>
      <c r="S97" s="540">
        <f t="shared" si="20"/>
        <v>330.15999999999997</v>
      </c>
    </row>
    <row r="98" spans="1:19" x14ac:dyDescent="0.3">
      <c r="A98" s="1" t="s">
        <v>103</v>
      </c>
      <c r="B98" s="505">
        <f t="shared" ref="B98:M98" si="30">(((((((((B88)+(B89))+(B90))+(B91))+(B92))+(B93))+(B94))+(B95))+(B96))+(B97)</f>
        <v>44864.23</v>
      </c>
      <c r="C98" s="505">
        <f t="shared" si="30"/>
        <v>40745.590000000004</v>
      </c>
      <c r="D98" s="505">
        <f t="shared" si="30"/>
        <v>46095.92</v>
      </c>
      <c r="E98" s="505">
        <f t="shared" si="30"/>
        <v>32926.410000000003</v>
      </c>
      <c r="F98" s="505">
        <f t="shared" si="30"/>
        <v>33772.97</v>
      </c>
      <c r="G98" s="505">
        <f t="shared" si="30"/>
        <v>33510.81</v>
      </c>
      <c r="H98" s="505">
        <f t="shared" si="30"/>
        <v>34376.139999999992</v>
      </c>
      <c r="I98" s="505">
        <f t="shared" si="30"/>
        <v>35693.660000000003</v>
      </c>
      <c r="J98" s="505">
        <f t="shared" si="30"/>
        <v>34929.24</v>
      </c>
      <c r="K98" s="4">
        <f t="shared" si="30"/>
        <v>27033.75</v>
      </c>
      <c r="L98" s="4">
        <f t="shared" si="30"/>
        <v>27033.75</v>
      </c>
      <c r="M98" s="4">
        <f t="shared" si="30"/>
        <v>27033.75</v>
      </c>
      <c r="N98" s="4">
        <f t="shared" si="22"/>
        <v>418016.22</v>
      </c>
      <c r="S98" s="540">
        <f t="shared" si="20"/>
        <v>301985.73</v>
      </c>
    </row>
    <row r="99" spans="1:19" x14ac:dyDescent="0.3">
      <c r="A99" s="1" t="s">
        <v>104</v>
      </c>
      <c r="B99" s="505">
        <f t="shared" ref="B99:M99" si="31">(((B50)+(B63))+(B87))+(B98)</f>
        <v>102407.95000000001</v>
      </c>
      <c r="C99" s="505">
        <f t="shared" si="31"/>
        <v>189358.77</v>
      </c>
      <c r="D99" s="505">
        <f t="shared" si="31"/>
        <v>153845.65999999997</v>
      </c>
      <c r="E99" s="505">
        <f t="shared" si="31"/>
        <v>130791.37</v>
      </c>
      <c r="F99" s="505">
        <f t="shared" si="31"/>
        <v>123618.35</v>
      </c>
      <c r="G99" s="505">
        <f t="shared" si="31"/>
        <v>91495.2</v>
      </c>
      <c r="H99" s="505">
        <f t="shared" si="31"/>
        <v>92650.34</v>
      </c>
      <c r="I99" s="505">
        <f t="shared" si="31"/>
        <v>84982.36</v>
      </c>
      <c r="J99" s="505">
        <f t="shared" si="31"/>
        <v>96538.03</v>
      </c>
      <c r="K99" s="4">
        <f t="shared" si="31"/>
        <v>76642.302499999991</v>
      </c>
      <c r="L99" s="4">
        <f t="shared" si="31"/>
        <v>72277.302499999991</v>
      </c>
      <c r="M99" s="4">
        <f t="shared" si="31"/>
        <v>77327.202499999999</v>
      </c>
      <c r="N99" s="4">
        <f t="shared" si="22"/>
        <v>1291934.8374999997</v>
      </c>
      <c r="S99" s="540">
        <f t="shared" si="20"/>
        <v>969149.99999999988</v>
      </c>
    </row>
    <row r="100" spans="1:19" x14ac:dyDescent="0.3">
      <c r="A100" s="1" t="s">
        <v>105</v>
      </c>
      <c r="B100" s="505">
        <f t="shared" ref="B100:M100" si="32">(B16)-(B99)</f>
        <v>16796.039999999994</v>
      </c>
      <c r="C100" s="505">
        <f t="shared" si="32"/>
        <v>-68812.349999999991</v>
      </c>
      <c r="D100" s="505">
        <f t="shared" si="32"/>
        <v>-34156.209999999977</v>
      </c>
      <c r="E100" s="505">
        <f t="shared" si="32"/>
        <v>54571.19</v>
      </c>
      <c r="F100" s="505">
        <f t="shared" si="32"/>
        <v>-3580.7300000000105</v>
      </c>
      <c r="G100" s="505">
        <f t="shared" si="32"/>
        <v>27705.710000000006</v>
      </c>
      <c r="H100" s="505">
        <f t="shared" si="32"/>
        <v>-33023.199999999997</v>
      </c>
      <c r="I100" s="505">
        <f t="shared" si="32"/>
        <v>36203.509999999995</v>
      </c>
      <c r="J100" s="505">
        <f t="shared" si="32"/>
        <v>22644.11</v>
      </c>
      <c r="K100" s="4">
        <f t="shared" si="32"/>
        <v>42529.91750000001</v>
      </c>
      <c r="L100" s="4">
        <f t="shared" si="32"/>
        <v>46894.91750000001</v>
      </c>
      <c r="M100" s="4">
        <f t="shared" si="32"/>
        <v>41845.017500000002</v>
      </c>
      <c r="N100" s="4">
        <f t="shared" si="22"/>
        <v>149617.92250000004</v>
      </c>
      <c r="S100" s="540">
        <f t="shared" si="20"/>
        <v>-4296.039999999979</v>
      </c>
    </row>
    <row r="101" spans="1:19" x14ac:dyDescent="0.3">
      <c r="A101" s="1" t="s">
        <v>106</v>
      </c>
      <c r="B101" s="507">
        <f t="shared" ref="B101:M101" si="33">(B100)+(0)</f>
        <v>16796.039999999994</v>
      </c>
      <c r="C101" s="507">
        <f t="shared" si="33"/>
        <v>-68812.349999999991</v>
      </c>
      <c r="D101" s="507">
        <f t="shared" si="33"/>
        <v>-34156.209999999977</v>
      </c>
      <c r="E101" s="507">
        <f t="shared" si="33"/>
        <v>54571.19</v>
      </c>
      <c r="F101" s="507">
        <f t="shared" si="33"/>
        <v>-3580.7300000000105</v>
      </c>
      <c r="G101" s="507">
        <f t="shared" si="33"/>
        <v>27705.710000000006</v>
      </c>
      <c r="H101" s="507">
        <f t="shared" si="33"/>
        <v>-33023.199999999997</v>
      </c>
      <c r="I101" s="507">
        <f t="shared" si="33"/>
        <v>36203.509999999995</v>
      </c>
      <c r="J101" s="507">
        <f t="shared" si="33"/>
        <v>22644.11</v>
      </c>
      <c r="K101" s="5">
        <f t="shared" si="33"/>
        <v>42529.91750000001</v>
      </c>
      <c r="L101" s="5">
        <f t="shared" si="33"/>
        <v>46894.91750000001</v>
      </c>
      <c r="M101" s="5">
        <f t="shared" si="33"/>
        <v>41845.017500000002</v>
      </c>
      <c r="N101" s="5">
        <f t="shared" si="22"/>
        <v>149617.92250000004</v>
      </c>
      <c r="S101" s="540">
        <f t="shared" si="20"/>
        <v>-4296.039999999979</v>
      </c>
    </row>
    <row r="102" spans="1:19" x14ac:dyDescent="0.3">
      <c r="A102" s="1"/>
      <c r="B102" s="225"/>
      <c r="C102" s="225"/>
      <c r="D102" s="225"/>
      <c r="E102" s="225"/>
      <c r="F102" s="225"/>
      <c r="G102" s="225"/>
      <c r="H102" s="225"/>
      <c r="I102" s="225"/>
      <c r="J102" s="2"/>
      <c r="K102" s="2"/>
      <c r="L102" s="2"/>
      <c r="M102" s="2"/>
      <c r="N102" s="2"/>
    </row>
    <row r="103" spans="1:19" x14ac:dyDescent="0.3">
      <c r="A103" s="221"/>
      <c r="B103" s="499" t="s">
        <v>0</v>
      </c>
      <c r="C103" s="499" t="s">
        <v>1</v>
      </c>
      <c r="D103" s="499" t="s">
        <v>2</v>
      </c>
      <c r="E103" s="499" t="s">
        <v>3</v>
      </c>
      <c r="F103" s="499" t="s">
        <v>4</v>
      </c>
      <c r="G103" s="499" t="s">
        <v>5</v>
      </c>
      <c r="H103" s="499" t="s">
        <v>6</v>
      </c>
      <c r="I103" s="499" t="s">
        <v>7</v>
      </c>
      <c r="J103" s="222" t="s">
        <v>8</v>
      </c>
      <c r="K103" s="222" t="s">
        <v>9</v>
      </c>
      <c r="L103" s="222" t="s">
        <v>10</v>
      </c>
      <c r="M103" s="222" t="s">
        <v>11</v>
      </c>
      <c r="N103" s="222" t="s">
        <v>12</v>
      </c>
      <c r="O103" s="223" t="s">
        <v>349</v>
      </c>
    </row>
    <row r="105" spans="1:19" x14ac:dyDescent="0.3">
      <c r="A105" s="581"/>
      <c r="B105" s="582"/>
      <c r="C105" s="582"/>
      <c r="D105" s="582"/>
      <c r="E105" s="582"/>
      <c r="F105" s="582"/>
      <c r="G105" s="582"/>
      <c r="H105" s="582"/>
      <c r="I105" s="582"/>
      <c r="J105" s="582"/>
      <c r="K105" s="582"/>
      <c r="L105" s="582"/>
      <c r="M105" s="582"/>
      <c r="N105" s="582"/>
    </row>
  </sheetData>
  <mergeCells count="4">
    <mergeCell ref="A105:N105"/>
    <mergeCell ref="A3:N3"/>
    <mergeCell ref="A2:N2"/>
    <mergeCell ref="A1:N1"/>
  </mergeCells>
  <printOptions horizontalCentered="1"/>
  <pageMargins left="0.25" right="0.25" top="0.25" bottom="0.25" header="0" footer="0"/>
  <pageSetup scale="6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2716E-DE78-4C1B-BE05-78C5192B83FE}">
  <sheetPr>
    <pageSetUpPr fitToPage="1"/>
  </sheetPr>
  <dimension ref="A1:P103"/>
  <sheetViews>
    <sheetView view="pageLayout" topLeftCell="C70" zoomScaleNormal="100" workbookViewId="0">
      <selection activeCell="B14" sqref="B14"/>
    </sheetView>
  </sheetViews>
  <sheetFormatPr defaultColWidth="9.109375" defaultRowHeight="14.4" x14ac:dyDescent="0.3"/>
  <cols>
    <col min="1" max="1" width="36.109375" style="497" customWidth="1"/>
    <col min="2" max="7" width="10.44140625" style="497" bestFit="1" customWidth="1"/>
    <col min="8" max="8" width="10.109375" style="497" bestFit="1" customWidth="1"/>
    <col min="9" max="10" width="11" style="497" bestFit="1" customWidth="1"/>
    <col min="11" max="13" width="10.109375" style="497" bestFit="1" customWidth="1"/>
    <col min="14" max="14" width="11.6640625" style="497" bestFit="1" customWidth="1"/>
    <col min="15" max="15" width="29.33203125" style="482" bestFit="1" customWidth="1"/>
    <col min="16" max="16" width="11.5546875" style="497" bestFit="1" customWidth="1"/>
    <col min="17" max="16384" width="9.109375" style="497"/>
  </cols>
  <sheetData>
    <row r="1" spans="1:15" ht="15.6" x14ac:dyDescent="0.3">
      <c r="A1" s="584" t="s">
        <v>108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12"/>
    </row>
    <row r="2" spans="1:15" ht="15.6" x14ac:dyDescent="0.3">
      <c r="A2" s="584" t="s">
        <v>446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12"/>
    </row>
    <row r="3" spans="1:15" x14ac:dyDescent="0.3">
      <c r="A3" s="583" t="s">
        <v>444</v>
      </c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13"/>
    </row>
    <row r="5" spans="1:15" x14ac:dyDescent="0.3">
      <c r="A5" s="221"/>
      <c r="B5" s="222" t="s">
        <v>0</v>
      </c>
      <c r="C5" s="222" t="s">
        <v>1</v>
      </c>
      <c r="D5" s="222" t="s">
        <v>2</v>
      </c>
      <c r="E5" s="222" t="s">
        <v>3</v>
      </c>
      <c r="F5" s="222" t="s">
        <v>4</v>
      </c>
      <c r="G5" s="222" t="s">
        <v>5</v>
      </c>
      <c r="H5" s="222" t="s">
        <v>6</v>
      </c>
      <c r="I5" s="222" t="s">
        <v>7</v>
      </c>
      <c r="J5" s="222" t="s">
        <v>8</v>
      </c>
      <c r="K5" s="222" t="s">
        <v>9</v>
      </c>
      <c r="L5" s="222" t="s">
        <v>10</v>
      </c>
      <c r="M5" s="222" t="s">
        <v>11</v>
      </c>
      <c r="N5" s="222" t="s">
        <v>12</v>
      </c>
      <c r="O5" s="514" t="s">
        <v>349</v>
      </c>
    </row>
    <row r="6" spans="1:15" x14ac:dyDescent="0.3">
      <c r="A6" s="1" t="s">
        <v>13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x14ac:dyDescent="0.3">
      <c r="A7" s="1" t="s">
        <v>14</v>
      </c>
      <c r="B7" s="127">
        <f t="shared" ref="B7:M7" si="0">78541.42</f>
        <v>78541.42</v>
      </c>
      <c r="C7" s="127">
        <f t="shared" si="0"/>
        <v>78541.42</v>
      </c>
      <c r="D7" s="127">
        <f t="shared" si="0"/>
        <v>78541.42</v>
      </c>
      <c r="E7" s="127">
        <f t="shared" si="0"/>
        <v>78541.42</v>
      </c>
      <c r="F7" s="127">
        <f t="shared" si="0"/>
        <v>78541.42</v>
      </c>
      <c r="G7" s="127">
        <f t="shared" si="0"/>
        <v>78541.42</v>
      </c>
      <c r="H7" s="127">
        <f t="shared" si="0"/>
        <v>78541.42</v>
      </c>
      <c r="I7" s="127">
        <f t="shared" si="0"/>
        <v>78541.42</v>
      </c>
      <c r="J7" s="127">
        <f t="shared" si="0"/>
        <v>78541.42</v>
      </c>
      <c r="K7" s="127">
        <f t="shared" si="0"/>
        <v>78541.42</v>
      </c>
      <c r="L7" s="127">
        <f t="shared" si="0"/>
        <v>78541.42</v>
      </c>
      <c r="M7" s="127">
        <f t="shared" si="0"/>
        <v>78541.42</v>
      </c>
      <c r="N7" s="127">
        <f t="shared" ref="N7:N16" si="1">(((((((((((B7)+(C7))+(D7))+(E7))+(F7))+(G7))+(H7))+(I7))+(J7))+(K7))+(L7))+(M7)</f>
        <v>942497.04000000015</v>
      </c>
      <c r="O7" s="482" t="s">
        <v>350</v>
      </c>
    </row>
    <row r="8" spans="1:15" x14ac:dyDescent="0.3">
      <c r="A8" s="1" t="s">
        <v>15</v>
      </c>
      <c r="B8" s="2"/>
      <c r="C8" s="2"/>
      <c r="D8" s="2"/>
      <c r="E8" s="3">
        <f>66168.41</f>
        <v>66168.41</v>
      </c>
      <c r="F8" s="2"/>
      <c r="G8" s="2"/>
      <c r="H8" s="2"/>
      <c r="I8" s="2"/>
      <c r="J8" s="2"/>
      <c r="K8" s="2"/>
      <c r="L8" s="2"/>
      <c r="M8" s="2"/>
      <c r="N8" s="3">
        <f t="shared" si="1"/>
        <v>66168.41</v>
      </c>
    </row>
    <row r="9" spans="1:15" x14ac:dyDescent="0.3">
      <c r="A9" s="1" t="s">
        <v>16</v>
      </c>
      <c r="B9" s="127">
        <f t="shared" ref="B9:M9" si="2">40630.8</f>
        <v>40630.800000000003</v>
      </c>
      <c r="C9" s="127">
        <f t="shared" si="2"/>
        <v>40630.800000000003</v>
      </c>
      <c r="D9" s="127">
        <f t="shared" si="2"/>
        <v>40630.800000000003</v>
      </c>
      <c r="E9" s="127">
        <f t="shared" si="2"/>
        <v>40630.800000000003</v>
      </c>
      <c r="F9" s="127">
        <f t="shared" si="2"/>
        <v>40630.800000000003</v>
      </c>
      <c r="G9" s="127">
        <f t="shared" si="2"/>
        <v>40630.800000000003</v>
      </c>
      <c r="H9" s="127">
        <f t="shared" si="2"/>
        <v>40630.800000000003</v>
      </c>
      <c r="I9" s="127">
        <f t="shared" si="2"/>
        <v>40630.800000000003</v>
      </c>
      <c r="J9" s="127">
        <f t="shared" si="2"/>
        <v>40630.800000000003</v>
      </c>
      <c r="K9" s="127">
        <f t="shared" si="2"/>
        <v>40630.800000000003</v>
      </c>
      <c r="L9" s="127">
        <f t="shared" si="2"/>
        <v>40630.800000000003</v>
      </c>
      <c r="M9" s="127">
        <f t="shared" si="2"/>
        <v>40630.800000000003</v>
      </c>
      <c r="N9" s="127">
        <f t="shared" si="1"/>
        <v>487569.59999999992</v>
      </c>
      <c r="O9" s="482" t="s">
        <v>350</v>
      </c>
    </row>
    <row r="10" spans="1:15" x14ac:dyDescent="0.3">
      <c r="A10" s="1" t="s">
        <v>17</v>
      </c>
      <c r="B10" s="2"/>
      <c r="C10" s="2"/>
      <c r="D10" s="2"/>
      <c r="E10" s="2"/>
      <c r="F10" s="2"/>
      <c r="G10" s="2"/>
      <c r="H10" s="2"/>
      <c r="I10" s="226">
        <v>12700</v>
      </c>
      <c r="J10" s="2"/>
      <c r="K10" s="2"/>
      <c r="L10" s="2"/>
      <c r="M10" s="2"/>
      <c r="N10" s="3">
        <f t="shared" si="1"/>
        <v>12700</v>
      </c>
      <c r="O10" s="481" t="s">
        <v>436</v>
      </c>
    </row>
    <row r="11" spans="1:15" x14ac:dyDescent="0.3">
      <c r="A11" s="1" t="s">
        <v>18</v>
      </c>
      <c r="B11" s="2"/>
      <c r="C11" s="2"/>
      <c r="D11" s="3">
        <f>0</f>
        <v>0</v>
      </c>
      <c r="E11" s="2"/>
      <c r="F11" s="2"/>
      <c r="G11" s="2"/>
      <c r="H11" s="2"/>
      <c r="I11" s="2"/>
      <c r="J11" s="2"/>
      <c r="K11" s="2"/>
      <c r="L11" s="2"/>
      <c r="M11" s="2"/>
      <c r="N11" s="3">
        <f t="shared" si="1"/>
        <v>0</v>
      </c>
    </row>
    <row r="12" spans="1:15" x14ac:dyDescent="0.3">
      <c r="A12" s="1" t="s">
        <v>19</v>
      </c>
      <c r="B12" s="2"/>
      <c r="C12" s="3">
        <f>1350</f>
        <v>1350</v>
      </c>
      <c r="D12" s="3">
        <f>500</f>
        <v>500</v>
      </c>
      <c r="E12" s="2"/>
      <c r="F12" s="3">
        <f>850</f>
        <v>850</v>
      </c>
      <c r="G12" s="2"/>
      <c r="H12" s="2"/>
      <c r="I12" s="2"/>
      <c r="J12" s="2"/>
      <c r="K12" s="2"/>
      <c r="L12" s="2"/>
      <c r="M12" s="2"/>
      <c r="N12" s="3">
        <f t="shared" si="1"/>
        <v>2700</v>
      </c>
    </row>
    <row r="13" spans="1:15" x14ac:dyDescent="0.3">
      <c r="A13" s="1" t="s">
        <v>20</v>
      </c>
      <c r="B13" s="3">
        <f>31.77</f>
        <v>31.77</v>
      </c>
      <c r="C13" s="3">
        <f>24.2</f>
        <v>24.2</v>
      </c>
      <c r="D13" s="3">
        <f>17.23</f>
        <v>17.23</v>
      </c>
      <c r="E13" s="3">
        <f>21.93</f>
        <v>21.93</v>
      </c>
      <c r="F13" s="3">
        <f>15.4</f>
        <v>15.4</v>
      </c>
      <c r="G13" s="3">
        <f>28.69</f>
        <v>28.69</v>
      </c>
      <c r="H13" s="2"/>
      <c r="I13" s="2"/>
      <c r="J13" s="2"/>
      <c r="K13" s="2"/>
      <c r="L13" s="2"/>
      <c r="M13" s="2"/>
      <c r="N13" s="3">
        <f t="shared" si="1"/>
        <v>139.22</v>
      </c>
    </row>
    <row r="14" spans="1:15" x14ac:dyDescent="0.3">
      <c r="A14" s="1" t="s">
        <v>21</v>
      </c>
      <c r="B14" s="5">
        <f t="shared" ref="B14:M14" si="3">(((B10)+(B11))+(B12))+(B13)</f>
        <v>31.77</v>
      </c>
      <c r="C14" s="5">
        <f t="shared" si="3"/>
        <v>1374.2</v>
      </c>
      <c r="D14" s="5">
        <f t="shared" si="3"/>
        <v>517.23</v>
      </c>
      <c r="E14" s="5">
        <f t="shared" si="3"/>
        <v>21.93</v>
      </c>
      <c r="F14" s="5">
        <f t="shared" si="3"/>
        <v>865.4</v>
      </c>
      <c r="G14" s="5">
        <f t="shared" si="3"/>
        <v>28.69</v>
      </c>
      <c r="H14" s="5">
        <f t="shared" si="3"/>
        <v>0</v>
      </c>
      <c r="I14" s="5">
        <f>(((I10)+(I11))+(I12))+(I13)</f>
        <v>12700</v>
      </c>
      <c r="J14" s="5">
        <f t="shared" si="3"/>
        <v>0</v>
      </c>
      <c r="K14" s="5">
        <f t="shared" si="3"/>
        <v>0</v>
      </c>
      <c r="L14" s="5">
        <f t="shared" si="3"/>
        <v>0</v>
      </c>
      <c r="M14" s="5">
        <f t="shared" si="3"/>
        <v>0</v>
      </c>
      <c r="N14" s="5">
        <f t="shared" si="1"/>
        <v>15539.220000000001</v>
      </c>
    </row>
    <row r="15" spans="1:15" x14ac:dyDescent="0.3">
      <c r="A15" s="1" t="s">
        <v>22</v>
      </c>
      <c r="B15" s="5">
        <f t="shared" ref="B15:M15" si="4">(((B7)+(B8))+(B9))+(B14)</f>
        <v>119203.99</v>
      </c>
      <c r="C15" s="5">
        <f t="shared" si="4"/>
        <v>120546.42</v>
      </c>
      <c r="D15" s="5">
        <f t="shared" si="4"/>
        <v>119689.45</v>
      </c>
      <c r="E15" s="5">
        <f t="shared" si="4"/>
        <v>185362.56</v>
      </c>
      <c r="F15" s="5">
        <f t="shared" si="4"/>
        <v>120037.62</v>
      </c>
      <c r="G15" s="5">
        <f t="shared" si="4"/>
        <v>119200.91</v>
      </c>
      <c r="H15" s="5">
        <f t="shared" si="4"/>
        <v>119172.22</v>
      </c>
      <c r="I15" s="5">
        <f t="shared" si="4"/>
        <v>131872.22</v>
      </c>
      <c r="J15" s="5">
        <f t="shared" si="4"/>
        <v>119172.22</v>
      </c>
      <c r="K15" s="5">
        <f t="shared" si="4"/>
        <v>119172.22</v>
      </c>
      <c r="L15" s="5">
        <f t="shared" si="4"/>
        <v>119172.22</v>
      </c>
      <c r="M15" s="5">
        <f t="shared" si="4"/>
        <v>119172.22</v>
      </c>
      <c r="N15" s="5">
        <f t="shared" si="1"/>
        <v>1511774.2699999998</v>
      </c>
    </row>
    <row r="16" spans="1:15" x14ac:dyDescent="0.3">
      <c r="A16" s="1" t="s">
        <v>23</v>
      </c>
      <c r="B16" s="5">
        <f t="shared" ref="B16:M16" si="5">(B15)-(0)</f>
        <v>119203.99</v>
      </c>
      <c r="C16" s="5">
        <f t="shared" si="5"/>
        <v>120546.42</v>
      </c>
      <c r="D16" s="5">
        <f t="shared" si="5"/>
        <v>119689.45</v>
      </c>
      <c r="E16" s="5">
        <f t="shared" si="5"/>
        <v>185362.56</v>
      </c>
      <c r="F16" s="5">
        <f t="shared" si="5"/>
        <v>120037.62</v>
      </c>
      <c r="G16" s="5">
        <f t="shared" si="5"/>
        <v>119200.91</v>
      </c>
      <c r="H16" s="5">
        <f t="shared" si="5"/>
        <v>119172.22</v>
      </c>
      <c r="I16" s="5">
        <f t="shared" si="5"/>
        <v>131872.22</v>
      </c>
      <c r="J16" s="5">
        <f t="shared" si="5"/>
        <v>119172.22</v>
      </c>
      <c r="K16" s="5">
        <f t="shared" si="5"/>
        <v>119172.22</v>
      </c>
      <c r="L16" s="5">
        <f t="shared" si="5"/>
        <v>119172.22</v>
      </c>
      <c r="M16" s="5">
        <f t="shared" si="5"/>
        <v>119172.22</v>
      </c>
      <c r="N16" s="5">
        <f t="shared" si="1"/>
        <v>1511774.2699999998</v>
      </c>
    </row>
    <row r="17" spans="1:15" x14ac:dyDescent="0.3">
      <c r="A17" s="1" t="s">
        <v>24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5" x14ac:dyDescent="0.3">
      <c r="A18" s="1" t="s">
        <v>25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>
        <f t="shared" ref="N18:N81" si="6">(((((((((((B18)+(C18))+(D18))+(E18))+(F18))+(G18))+(H18))+(I18))+(J18))+(K18))+(L18))+(M18)</f>
        <v>0</v>
      </c>
    </row>
    <row r="19" spans="1:15" x14ac:dyDescent="0.3">
      <c r="A19" s="1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>
        <f t="shared" si="6"/>
        <v>0</v>
      </c>
    </row>
    <row r="20" spans="1:15" x14ac:dyDescent="0.3">
      <c r="A20" s="1" t="s">
        <v>27</v>
      </c>
      <c r="B20" s="3">
        <f>5752.66</f>
        <v>5752.66</v>
      </c>
      <c r="C20" s="3">
        <f>98839.1</f>
        <v>98839.1</v>
      </c>
      <c r="D20" s="3">
        <f>42619.08</f>
        <v>42619.08</v>
      </c>
      <c r="E20" s="3">
        <f>44361.54</f>
        <v>44361.54</v>
      </c>
      <c r="F20" s="3">
        <f>49826.45</f>
        <v>49826.45</v>
      </c>
      <c r="G20" s="3">
        <f>5942.45</f>
        <v>5942.45</v>
      </c>
      <c r="H20" s="3">
        <f>7705.85</f>
        <v>7705.85</v>
      </c>
      <c r="I20" s="3">
        <f>'[1]BB Example 3 _ Cash Flows'!AA52</f>
        <v>13375</v>
      </c>
      <c r="J20" s="2">
        <f>'[1]BB Example 3 _ Cash Flows'!AA86</f>
        <v>7375</v>
      </c>
      <c r="K20" s="2">
        <f>'[1]BB Example 3 _ Cash Flows'!AA116</f>
        <v>7375</v>
      </c>
      <c r="L20" s="2">
        <f>'[1]BB Example 3 _ Cash Flows'!AA144</f>
        <v>7375</v>
      </c>
      <c r="M20" s="2">
        <f>'[1]BB Example 3 _ Cash Flows'!AA174</f>
        <v>7375</v>
      </c>
      <c r="N20" s="3">
        <f t="shared" si="6"/>
        <v>297922.13</v>
      </c>
      <c r="O20" s="481" t="s">
        <v>405</v>
      </c>
    </row>
    <row r="21" spans="1:15" x14ac:dyDescent="0.3">
      <c r="A21" s="1" t="s">
        <v>28</v>
      </c>
      <c r="B21" s="2"/>
      <c r="C21" s="2"/>
      <c r="D21" s="3">
        <f>9085</f>
        <v>9085</v>
      </c>
      <c r="E21" s="2"/>
      <c r="F21" s="2"/>
      <c r="G21" s="2"/>
      <c r="H21" s="126"/>
      <c r="I21" s="226">
        <f>SUM('[1]Mid Year Budget _ Cash Flows '!BA55)</f>
        <v>1500</v>
      </c>
      <c r="J21" s="126"/>
      <c r="K21" s="126"/>
      <c r="L21" s="126"/>
      <c r="M21" s="126"/>
      <c r="N21" s="3">
        <f t="shared" si="6"/>
        <v>10585</v>
      </c>
      <c r="O21" s="481" t="s">
        <v>421</v>
      </c>
    </row>
    <row r="22" spans="1:15" x14ac:dyDescent="0.3">
      <c r="A22" s="1" t="s">
        <v>29</v>
      </c>
      <c r="B22" s="2"/>
      <c r="C22" s="2"/>
      <c r="D22" s="2"/>
      <c r="E22" s="2"/>
      <c r="F22" s="2"/>
      <c r="G22" s="3">
        <f>1500</f>
        <v>1500</v>
      </c>
      <c r="H22" s="126"/>
      <c r="I22" s="3">
        <f>1500</f>
        <v>1500</v>
      </c>
      <c r="J22" s="126"/>
      <c r="K22" s="126"/>
      <c r="L22" s="126"/>
      <c r="M22" s="126"/>
      <c r="N22" s="3">
        <f t="shared" si="6"/>
        <v>3000</v>
      </c>
    </row>
    <row r="23" spans="1:15" x14ac:dyDescent="0.3">
      <c r="A23" s="1" t="s">
        <v>30</v>
      </c>
      <c r="B23" s="2"/>
      <c r="C23" s="3">
        <f>5060</f>
        <v>5060</v>
      </c>
      <c r="D23" s="2"/>
      <c r="E23" s="2"/>
      <c r="F23" s="2"/>
      <c r="G23" s="2"/>
      <c r="H23" s="126"/>
      <c r="I23" s="126"/>
      <c r="J23" s="126"/>
      <c r="K23" s="126"/>
      <c r="L23" s="126"/>
      <c r="M23" s="126"/>
      <c r="N23" s="3">
        <f t="shared" si="6"/>
        <v>5060</v>
      </c>
    </row>
    <row r="24" spans="1:15" x14ac:dyDescent="0.3">
      <c r="A24" s="1" t="s">
        <v>31</v>
      </c>
      <c r="B24" s="3">
        <f>146.72</f>
        <v>146.72</v>
      </c>
      <c r="C24" s="2"/>
      <c r="D24" s="3">
        <f>9243</f>
        <v>9243</v>
      </c>
      <c r="E24" s="3">
        <f>7883.35</f>
        <v>7883.35</v>
      </c>
      <c r="F24" s="3">
        <f>216</f>
        <v>216</v>
      </c>
      <c r="G24" s="3">
        <f>809.77</f>
        <v>809.77</v>
      </c>
      <c r="H24" s="126"/>
      <c r="I24" s="126"/>
      <c r="J24" s="126"/>
      <c r="K24" s="126"/>
      <c r="L24" s="126"/>
      <c r="M24" s="126"/>
      <c r="N24" s="3">
        <f t="shared" si="6"/>
        <v>18298.84</v>
      </c>
    </row>
    <row r="25" spans="1:15" x14ac:dyDescent="0.3">
      <c r="A25" s="1" t="s">
        <v>32</v>
      </c>
      <c r="B25" s="2"/>
      <c r="C25" s="2"/>
      <c r="D25" s="2"/>
      <c r="E25" s="3">
        <f>2100</f>
        <v>2100</v>
      </c>
      <c r="F25" s="3">
        <f>1298</f>
        <v>1298</v>
      </c>
      <c r="G25" s="2"/>
      <c r="H25" s="126"/>
      <c r="I25" s="126"/>
      <c r="J25" s="126"/>
      <c r="K25" s="126"/>
      <c r="L25" s="126"/>
      <c r="M25" s="126"/>
      <c r="N25" s="3">
        <f t="shared" si="6"/>
        <v>3398</v>
      </c>
    </row>
    <row r="26" spans="1:15" x14ac:dyDescent="0.3">
      <c r="A26" s="1" t="s">
        <v>33</v>
      </c>
      <c r="B26" s="5">
        <f t="shared" ref="B26:M26" si="7">((((((B19)+(B20))+(B21))+(B22))+(B23))+(B24))+(B25)</f>
        <v>5899.38</v>
      </c>
      <c r="C26" s="5">
        <f t="shared" si="7"/>
        <v>103899.1</v>
      </c>
      <c r="D26" s="5">
        <f t="shared" si="7"/>
        <v>60947.08</v>
      </c>
      <c r="E26" s="5">
        <f t="shared" si="7"/>
        <v>54344.89</v>
      </c>
      <c r="F26" s="5">
        <f t="shared" si="7"/>
        <v>51340.45</v>
      </c>
      <c r="G26" s="5">
        <f t="shared" si="7"/>
        <v>8252.2199999999993</v>
      </c>
      <c r="H26" s="5">
        <f t="shared" si="7"/>
        <v>7705.85</v>
      </c>
      <c r="I26" s="5">
        <f t="shared" si="7"/>
        <v>16375</v>
      </c>
      <c r="J26" s="5">
        <f t="shared" si="7"/>
        <v>7375</v>
      </c>
      <c r="K26" s="5">
        <f t="shared" si="7"/>
        <v>7375</v>
      </c>
      <c r="L26" s="5">
        <f t="shared" si="7"/>
        <v>7375</v>
      </c>
      <c r="M26" s="5">
        <f t="shared" si="7"/>
        <v>7375</v>
      </c>
      <c r="N26" s="5">
        <f t="shared" si="6"/>
        <v>338263.97</v>
      </c>
    </row>
    <row r="27" spans="1:15" x14ac:dyDescent="0.3">
      <c r="A27" s="1" t="s">
        <v>34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>
        <f t="shared" si="6"/>
        <v>0</v>
      </c>
    </row>
    <row r="28" spans="1:15" x14ac:dyDescent="0.3">
      <c r="A28" s="1" t="s">
        <v>35</v>
      </c>
      <c r="B28" s="3">
        <f>7500</f>
        <v>7500</v>
      </c>
      <c r="C28" s="3">
        <f>7500</f>
        <v>7500</v>
      </c>
      <c r="D28" s="3">
        <f>7500</f>
        <v>7500</v>
      </c>
      <c r="E28" s="3">
        <f>7500</f>
        <v>7500</v>
      </c>
      <c r="F28" s="3">
        <f>7500</f>
        <v>7500</v>
      </c>
      <c r="G28" s="3">
        <f>7500</f>
        <v>7500</v>
      </c>
      <c r="H28" s="3">
        <f>7500</f>
        <v>7500</v>
      </c>
      <c r="I28" s="2">
        <f>'[1]Example 1 _ Cash Flows'!AB51</f>
        <v>7500</v>
      </c>
      <c r="J28" s="2">
        <f>'[1]Example 1 _ Cash Flows'!AB83</f>
        <v>7500</v>
      </c>
      <c r="K28" s="2">
        <f>'[1]Example 1 _ Cash Flows'!AB112</f>
        <v>7500</v>
      </c>
      <c r="L28" s="2">
        <f>'[1]Example 1 _ Cash Flows'!AB138</f>
        <v>7500</v>
      </c>
      <c r="M28" s="2">
        <f>SUM('[1]Mid Year Budget _ Cash Flows '!AB189)</f>
        <v>8100</v>
      </c>
      <c r="N28" s="3">
        <f t="shared" si="6"/>
        <v>90600</v>
      </c>
      <c r="O28" s="482" t="s">
        <v>448</v>
      </c>
    </row>
    <row r="29" spans="1:15" x14ac:dyDescent="0.3">
      <c r="A29" s="1" t="s">
        <v>36</v>
      </c>
      <c r="B29" s="3">
        <f>8333</f>
        <v>8333</v>
      </c>
      <c r="C29" s="3">
        <f>8333</f>
        <v>8333</v>
      </c>
      <c r="D29" s="3">
        <f>8333</f>
        <v>8333</v>
      </c>
      <c r="E29" s="3">
        <f>8333</f>
        <v>8333</v>
      </c>
      <c r="F29" s="3">
        <f>8333</f>
        <v>8333</v>
      </c>
      <c r="G29" s="3">
        <f>8479.22</f>
        <v>8479.2199999999993</v>
      </c>
      <c r="H29" s="3">
        <f>8333</f>
        <v>8333</v>
      </c>
      <c r="I29" s="2">
        <f>'[1]Example 1 _ Cash Flows'!AE51</f>
        <v>8333</v>
      </c>
      <c r="J29" s="2">
        <f>'[1]Example 1 _ Cash Flows'!AE83</f>
        <v>8333</v>
      </c>
      <c r="K29" s="2">
        <f>'[1]Example 1 _ Cash Flows'!AE112</f>
        <v>8333</v>
      </c>
      <c r="L29" s="2">
        <f>'[1]Example 1 _ Cash Flows'!AE138</f>
        <v>8333</v>
      </c>
      <c r="M29" s="2">
        <f>'[1]Example 1 _ Cash Flows'!AE166</f>
        <v>8333</v>
      </c>
      <c r="N29" s="3">
        <f t="shared" si="6"/>
        <v>100142.22</v>
      </c>
      <c r="O29" s="482" t="s">
        <v>449</v>
      </c>
    </row>
    <row r="30" spans="1:15" x14ac:dyDescent="0.3">
      <c r="A30" s="1" t="s">
        <v>37</v>
      </c>
      <c r="B30" s="3">
        <f>451.66</f>
        <v>451.66</v>
      </c>
      <c r="C30" s="3">
        <f>558.8</f>
        <v>558.79999999999995</v>
      </c>
      <c r="D30" s="3">
        <f>508.52</f>
        <v>508.52</v>
      </c>
      <c r="E30" s="3">
        <f>572.5</f>
        <v>572.5</v>
      </c>
      <c r="F30" s="3">
        <f>572.5</f>
        <v>572.5</v>
      </c>
      <c r="G30" s="3">
        <f>503.66</f>
        <v>503.66</v>
      </c>
      <c r="H30" s="2">
        <v>575</v>
      </c>
      <c r="I30" s="2">
        <f>SUM('[1]Example 1 _ Cash Flows'!AN51)</f>
        <v>625</v>
      </c>
      <c r="J30" s="2">
        <f>'[1]Example 1 _ Cash Flows'!AN83</f>
        <v>625</v>
      </c>
      <c r="K30" s="2">
        <f>'[1]Example 1 _ Cash Flows'!AN112</f>
        <v>625</v>
      </c>
      <c r="L30" s="2">
        <f>'[1]Example 1 _ Cash Flows'!AN138</f>
        <v>625</v>
      </c>
      <c r="M30" s="2">
        <f>'[1]Example 1 _ Cash Flows'!AN166</f>
        <v>625</v>
      </c>
      <c r="N30" s="3">
        <f t="shared" si="6"/>
        <v>6867.6399999999994</v>
      </c>
    </row>
    <row r="31" spans="1:15" x14ac:dyDescent="0.3">
      <c r="A31" s="1" t="s">
        <v>38</v>
      </c>
      <c r="B31" s="2"/>
      <c r="C31" s="3">
        <f>25.5</f>
        <v>25.5</v>
      </c>
      <c r="D31" s="3">
        <f>500</f>
        <v>500</v>
      </c>
      <c r="E31" s="2"/>
      <c r="F31" s="3">
        <f>746</f>
        <v>746</v>
      </c>
      <c r="G31" s="126"/>
      <c r="H31" s="126"/>
      <c r="I31" s="126"/>
      <c r="J31" s="126"/>
      <c r="K31" s="126"/>
      <c r="L31" s="126"/>
      <c r="M31" s="126"/>
      <c r="N31" s="3">
        <f t="shared" si="6"/>
        <v>1271.5</v>
      </c>
    </row>
    <row r="32" spans="1:15" x14ac:dyDescent="0.3">
      <c r="A32" s="1" t="s">
        <v>39</v>
      </c>
      <c r="B32" s="3">
        <f>995</f>
        <v>995</v>
      </c>
      <c r="C32" s="2"/>
      <c r="D32" s="2"/>
      <c r="E32" s="2"/>
      <c r="F32" s="2"/>
      <c r="G32" s="126"/>
      <c r="H32" s="126"/>
      <c r="I32" s="126"/>
      <c r="J32" s="494">
        <f>SUM('[1]Mid Year Budget _ Cash Flows '!AZ94)</f>
        <v>1800</v>
      </c>
      <c r="K32" s="126"/>
      <c r="L32" s="126"/>
      <c r="M32" s="126"/>
      <c r="N32" s="3">
        <f t="shared" si="6"/>
        <v>2795</v>
      </c>
      <c r="O32" s="481" t="s">
        <v>443</v>
      </c>
    </row>
    <row r="33" spans="1:16" x14ac:dyDescent="0.3">
      <c r="A33" s="1" t="s">
        <v>40</v>
      </c>
      <c r="B33" s="3">
        <f>544.28</f>
        <v>544.28</v>
      </c>
      <c r="C33" s="2"/>
      <c r="D33" s="3">
        <f>1851.65</f>
        <v>1851.65</v>
      </c>
      <c r="E33" s="3">
        <f>1116.66</f>
        <v>1116.6600000000001</v>
      </c>
      <c r="F33" s="3">
        <f>42.84</f>
        <v>42.84</v>
      </c>
      <c r="G33" s="126"/>
      <c r="H33" s="126"/>
      <c r="I33" s="126"/>
      <c r="J33" s="126"/>
      <c r="K33" s="126"/>
      <c r="L33" s="126"/>
      <c r="M33" s="126"/>
      <c r="N33" s="3">
        <f t="shared" si="6"/>
        <v>3555.4300000000003</v>
      </c>
    </row>
    <row r="34" spans="1:16" x14ac:dyDescent="0.3">
      <c r="A34" s="1" t="s">
        <v>41</v>
      </c>
      <c r="B34" s="3">
        <f>213.97</f>
        <v>213.97</v>
      </c>
      <c r="C34" s="3">
        <f>0</f>
        <v>0</v>
      </c>
      <c r="D34" s="3">
        <f>399.06</f>
        <v>399.06</v>
      </c>
      <c r="E34" s="3">
        <f>294.16</f>
        <v>294.16000000000003</v>
      </c>
      <c r="F34" s="3">
        <f>110</f>
        <v>110</v>
      </c>
      <c r="G34" s="126"/>
      <c r="H34" s="126"/>
      <c r="I34" s="126"/>
      <c r="J34" s="126"/>
      <c r="K34" s="126"/>
      <c r="L34" s="126"/>
      <c r="M34" s="126"/>
      <c r="N34" s="3">
        <f t="shared" si="6"/>
        <v>1017.19</v>
      </c>
    </row>
    <row r="35" spans="1:16" x14ac:dyDescent="0.3">
      <c r="A35" s="1" t="s">
        <v>42</v>
      </c>
      <c r="B35" s="5">
        <f t="shared" ref="B35:M35" si="8">(((((((B27)+(B28))+(B29))+(B30))+(B31))+(B32))+(B33))+(B34)</f>
        <v>18037.91</v>
      </c>
      <c r="C35" s="5">
        <f t="shared" si="8"/>
        <v>16417.3</v>
      </c>
      <c r="D35" s="5">
        <f t="shared" si="8"/>
        <v>19092.230000000003</v>
      </c>
      <c r="E35" s="5">
        <f t="shared" si="8"/>
        <v>17816.32</v>
      </c>
      <c r="F35" s="5">
        <f t="shared" si="8"/>
        <v>17304.34</v>
      </c>
      <c r="G35" s="5">
        <f t="shared" si="8"/>
        <v>16482.88</v>
      </c>
      <c r="H35" s="5">
        <f t="shared" si="8"/>
        <v>16408</v>
      </c>
      <c r="I35" s="5">
        <f t="shared" si="8"/>
        <v>16458</v>
      </c>
      <c r="J35" s="5">
        <f t="shared" si="8"/>
        <v>18258</v>
      </c>
      <c r="K35" s="5">
        <f t="shared" si="8"/>
        <v>16458</v>
      </c>
      <c r="L35" s="5">
        <f t="shared" si="8"/>
        <v>16458</v>
      </c>
      <c r="M35" s="5">
        <f t="shared" si="8"/>
        <v>17058</v>
      </c>
      <c r="N35" s="5">
        <f t="shared" si="6"/>
        <v>206248.98</v>
      </c>
    </row>
    <row r="36" spans="1:16" x14ac:dyDescent="0.3">
      <c r="A36" s="1" t="s">
        <v>43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>
        <f t="shared" si="6"/>
        <v>0</v>
      </c>
    </row>
    <row r="37" spans="1:16" x14ac:dyDescent="0.3">
      <c r="A37" s="1" t="s">
        <v>44</v>
      </c>
      <c r="B37" s="3">
        <f>2500</f>
        <v>2500</v>
      </c>
      <c r="C37" s="3">
        <f>2500</f>
        <v>2500</v>
      </c>
      <c r="D37" s="3">
        <f>2500</f>
        <v>2500</v>
      </c>
      <c r="E37" s="3">
        <f>2500</f>
        <v>2500</v>
      </c>
      <c r="F37" s="3">
        <f>2500</f>
        <v>2500</v>
      </c>
      <c r="G37" s="3">
        <f>2500</f>
        <v>2500</v>
      </c>
      <c r="H37" s="2">
        <f>SUM('[1]Example 1 _ Cash Flows'!Z17)</f>
        <v>2500</v>
      </c>
      <c r="I37" s="2">
        <f>'[1]Example 1 _ Cash Flows'!Z51</f>
        <v>2500</v>
      </c>
      <c r="J37" s="2">
        <f>'[1]Example 1 _ Cash Flows'!Z83</f>
        <v>2500</v>
      </c>
      <c r="K37" s="2">
        <f>'[1]Example 1 _ Cash Flows'!Z112</f>
        <v>2500</v>
      </c>
      <c r="L37" s="2">
        <f>'[1]Example 1 _ Cash Flows'!Z138</f>
        <v>2500</v>
      </c>
      <c r="M37" s="2">
        <f>'[1]Example 1 _ Cash Flows'!Z166</f>
        <v>2500</v>
      </c>
      <c r="N37" s="3">
        <f t="shared" si="6"/>
        <v>30000</v>
      </c>
      <c r="O37" s="481" t="s">
        <v>447</v>
      </c>
    </row>
    <row r="38" spans="1:16" x14ac:dyDescent="0.3">
      <c r="A38" s="1" t="s">
        <v>45</v>
      </c>
      <c r="B38" s="3">
        <f>1677.84</f>
        <v>1677.84</v>
      </c>
      <c r="C38" s="3">
        <f>1668.22</f>
        <v>1668.22</v>
      </c>
      <c r="D38" s="3">
        <f>1663.02</f>
        <v>1663.02</v>
      </c>
      <c r="E38" s="3">
        <f>1680.3</f>
        <v>1680.3</v>
      </c>
      <c r="F38" s="3">
        <f>1656</f>
        <v>1656</v>
      </c>
      <c r="G38" s="3">
        <f>1709</f>
        <v>1709</v>
      </c>
      <c r="H38" s="3">
        <f>1584</f>
        <v>1584</v>
      </c>
      <c r="I38" s="2">
        <f>'[1]Example 1 _ Cash Flows'!AD51</f>
        <v>1674</v>
      </c>
      <c r="J38" s="2">
        <f>'[1]Example 1 _ Cash Flows'!AD83</f>
        <v>1674</v>
      </c>
      <c r="K38" s="2">
        <f>'[1]Example 1 _ Cash Flows'!AD112</f>
        <v>1674</v>
      </c>
      <c r="L38" s="2">
        <f>'[1]Example 1 _ Cash Flows'!AD138</f>
        <v>1674</v>
      </c>
      <c r="M38" s="2">
        <f>'[1]Example 1 _ Cash Flows'!AD166</f>
        <v>1674</v>
      </c>
      <c r="N38" s="3">
        <f t="shared" si="6"/>
        <v>20008.38</v>
      </c>
      <c r="O38" s="482" t="s">
        <v>425</v>
      </c>
    </row>
    <row r="39" spans="1:16" x14ac:dyDescent="0.3">
      <c r="A39" s="1" t="s">
        <v>46</v>
      </c>
      <c r="B39" s="3">
        <f t="shared" ref="B39:G39" si="9">88.95</f>
        <v>88.95</v>
      </c>
      <c r="C39" s="3">
        <f t="shared" si="9"/>
        <v>88.95</v>
      </c>
      <c r="D39" s="3">
        <f t="shared" si="9"/>
        <v>88.95</v>
      </c>
      <c r="E39" s="3">
        <f t="shared" si="9"/>
        <v>88.95</v>
      </c>
      <c r="F39" s="3">
        <f t="shared" si="9"/>
        <v>88.95</v>
      </c>
      <c r="G39" s="3">
        <f t="shared" si="9"/>
        <v>88.95</v>
      </c>
      <c r="H39" s="2">
        <f>'[1]Example 1 _ Cash Flows'!AQ17</f>
        <v>0</v>
      </c>
      <c r="I39" s="2">
        <f>'[1]Example 1 _ Cash Flows'!AQ51</f>
        <v>111.1875</v>
      </c>
      <c r="J39" s="2">
        <f>'[1]Example 1 _ Cash Flows'!AQ83</f>
        <v>111.1875</v>
      </c>
      <c r="K39" s="2">
        <f>'[1]Example 1 _ Cash Flows'!AQ112</f>
        <v>111.1875</v>
      </c>
      <c r="L39" s="2">
        <f>'[1]Example 1 _ Cash Flows'!AQ138</f>
        <v>111.1875</v>
      </c>
      <c r="M39" s="2">
        <f>'[1]Example 1 _ Cash Flows'!AQ166</f>
        <v>111.1875</v>
      </c>
      <c r="N39" s="3">
        <f t="shared" si="6"/>
        <v>1089.6375</v>
      </c>
    </row>
    <row r="40" spans="1:16" x14ac:dyDescent="0.3">
      <c r="A40" s="1" t="s">
        <v>47</v>
      </c>
      <c r="B40" s="5">
        <f t="shared" ref="B40:M40" si="10">(((B36)+(B37))+(B38))+(B39)</f>
        <v>4266.79</v>
      </c>
      <c r="C40" s="5">
        <f t="shared" si="10"/>
        <v>4257.17</v>
      </c>
      <c r="D40" s="5">
        <f t="shared" si="10"/>
        <v>4251.97</v>
      </c>
      <c r="E40" s="5">
        <f t="shared" si="10"/>
        <v>4269.25</v>
      </c>
      <c r="F40" s="5">
        <f t="shared" si="10"/>
        <v>4244.95</v>
      </c>
      <c r="G40" s="5">
        <f t="shared" si="10"/>
        <v>4297.95</v>
      </c>
      <c r="H40" s="5">
        <f t="shared" si="10"/>
        <v>4084</v>
      </c>
      <c r="I40" s="5">
        <f t="shared" si="10"/>
        <v>4285.1875</v>
      </c>
      <c r="J40" s="5">
        <f t="shared" si="10"/>
        <v>4285.1875</v>
      </c>
      <c r="K40" s="5">
        <f t="shared" si="10"/>
        <v>4285.1875</v>
      </c>
      <c r="L40" s="5">
        <f t="shared" si="10"/>
        <v>4285.1875</v>
      </c>
      <c r="M40" s="5">
        <f t="shared" si="10"/>
        <v>4285.1875</v>
      </c>
      <c r="N40" s="5">
        <f t="shared" si="6"/>
        <v>51098.017500000002</v>
      </c>
    </row>
    <row r="41" spans="1:16" x14ac:dyDescent="0.3">
      <c r="A41" s="1" t="s">
        <v>422</v>
      </c>
      <c r="B41" s="2"/>
      <c r="C41" s="2"/>
      <c r="D41" s="2"/>
      <c r="E41" s="2"/>
      <c r="F41" s="2"/>
      <c r="G41" s="2"/>
      <c r="H41" s="2"/>
      <c r="I41" s="226">
        <f>SUM('[1]Mid Year Budget _ Cash Flows '!BB55)</f>
        <v>1075</v>
      </c>
      <c r="J41" s="226">
        <f>'[1]Mid Year Budget _ Cash Flows '!BB94</f>
        <v>2375</v>
      </c>
      <c r="K41" s="226">
        <f>'[1]Mid Year Budget _ Cash Flows '!BB128</f>
        <v>2375</v>
      </c>
      <c r="L41" s="226">
        <f>'[1]Mid Year Budget _ Cash Flows '!BB157</f>
        <v>0</v>
      </c>
      <c r="M41" s="226">
        <f>'[1]Mid Year Budget _ Cash Flows '!BB189</f>
        <v>0</v>
      </c>
      <c r="N41" s="227">
        <f t="shared" si="6"/>
        <v>5825</v>
      </c>
      <c r="O41" s="481" t="s">
        <v>423</v>
      </c>
    </row>
    <row r="42" spans="1:16" x14ac:dyDescent="0.3">
      <c r="A42" s="1" t="s">
        <v>49</v>
      </c>
      <c r="B42" s="3">
        <f>6549.33</f>
        <v>6549.33</v>
      </c>
      <c r="C42" s="3">
        <f>201.7</f>
        <v>201.7</v>
      </c>
      <c r="D42" s="3">
        <f>664.45</f>
        <v>664.45</v>
      </c>
      <c r="E42" s="3">
        <f>51</f>
        <v>51</v>
      </c>
      <c r="F42" s="2"/>
      <c r="G42" s="2"/>
      <c r="H42" s="126"/>
      <c r="I42" s="126"/>
      <c r="J42" s="126"/>
      <c r="K42" s="126"/>
      <c r="L42" s="126"/>
      <c r="M42" s="126"/>
      <c r="N42" s="3">
        <f t="shared" si="6"/>
        <v>7466.48</v>
      </c>
    </row>
    <row r="43" spans="1:16" x14ac:dyDescent="0.3">
      <c r="A43" s="1" t="s">
        <v>50</v>
      </c>
      <c r="B43" s="2"/>
      <c r="C43" s="3">
        <f>265</f>
        <v>265</v>
      </c>
      <c r="D43" s="3">
        <f>275.75</f>
        <v>275.75</v>
      </c>
      <c r="E43" s="2"/>
      <c r="F43" s="2"/>
      <c r="G43" s="2"/>
      <c r="H43" s="127">
        <f>3300</f>
        <v>3300</v>
      </c>
      <c r="I43" s="127">
        <f>3570</f>
        <v>3570</v>
      </c>
      <c r="J43" s="127">
        <f>3570</f>
        <v>3570</v>
      </c>
      <c r="K43" s="126"/>
      <c r="L43" s="126"/>
      <c r="M43" s="126">
        <f>SUM('[1]Mid Year Budget _ Cash Flows '!AU94)</f>
        <v>3050</v>
      </c>
      <c r="N43" s="3">
        <f t="shared" si="6"/>
        <v>14030.75</v>
      </c>
    </row>
    <row r="44" spans="1:16" x14ac:dyDescent="0.3">
      <c r="A44" s="1" t="s">
        <v>51</v>
      </c>
      <c r="B44" s="3">
        <f>1064.15</f>
        <v>1064.1500000000001</v>
      </c>
      <c r="C44" s="2"/>
      <c r="D44" s="2"/>
      <c r="E44" s="2"/>
      <c r="F44" s="2"/>
      <c r="G44" s="2"/>
      <c r="H44" s="126"/>
      <c r="I44" s="126"/>
      <c r="J44" s="404">
        <f>SUM('[1]BB Example 3 _ Cash Flows'!AW86)</f>
        <v>4500</v>
      </c>
      <c r="K44" s="126"/>
      <c r="L44" s="126"/>
      <c r="M44" s="126"/>
      <c r="N44" s="3">
        <f t="shared" si="6"/>
        <v>5564.15</v>
      </c>
      <c r="O44" s="481" t="s">
        <v>394</v>
      </c>
    </row>
    <row r="45" spans="1:16" x14ac:dyDescent="0.3">
      <c r="A45" s="1" t="s">
        <v>52</v>
      </c>
      <c r="B45" s="3">
        <f>381.67</f>
        <v>381.67</v>
      </c>
      <c r="C45" s="3">
        <f>32.76</f>
        <v>32.76</v>
      </c>
      <c r="D45" s="3">
        <f>962.9</f>
        <v>962.9</v>
      </c>
      <c r="E45" s="2"/>
      <c r="F45" s="3">
        <f>149.38</f>
        <v>149.38</v>
      </c>
      <c r="G45" s="3">
        <f>2168.9</f>
        <v>2168.9</v>
      </c>
      <c r="H45" s="126"/>
      <c r="I45" s="126">
        <f>'[1]Mid Year Budget _ Cash Flows '!AT55</f>
        <v>22229.68</v>
      </c>
      <c r="J45" s="126">
        <f>'[1]Mid Year Budget _ Cash Flows '!AT94</f>
        <v>2250</v>
      </c>
      <c r="K45" s="126">
        <f>'[1]Mid Year Budget _ Cash Flows '!AT128</f>
        <v>0</v>
      </c>
      <c r="L45" s="126">
        <f>'[1]Mid Year Budget _ Cash Flows '!AT157</f>
        <v>0</v>
      </c>
      <c r="M45" s="126">
        <f>'[1]Mid Year Budget _ Cash Flows '!AT189</f>
        <v>2600</v>
      </c>
      <c r="N45" s="3">
        <f t="shared" si="6"/>
        <v>30775.29</v>
      </c>
      <c r="P45" s="491">
        <f>SUM(I45:M45)</f>
        <v>27079.68</v>
      </c>
    </row>
    <row r="46" spans="1:16" x14ac:dyDescent="0.3">
      <c r="A46" s="1" t="s">
        <v>53</v>
      </c>
      <c r="B46" s="2"/>
      <c r="C46" s="2"/>
      <c r="D46" s="2"/>
      <c r="E46" s="3">
        <f>805</f>
        <v>805</v>
      </c>
      <c r="F46" s="2"/>
      <c r="G46" s="2"/>
      <c r="H46" s="126"/>
      <c r="I46" s="126"/>
      <c r="J46" s="126"/>
      <c r="K46" s="126"/>
      <c r="L46" s="126"/>
      <c r="M46" s="126"/>
      <c r="N46" s="3">
        <f t="shared" si="6"/>
        <v>805</v>
      </c>
      <c r="P46" s="491"/>
    </row>
    <row r="47" spans="1:16" x14ac:dyDescent="0.3">
      <c r="A47" s="1" t="s">
        <v>54</v>
      </c>
      <c r="B47" s="5">
        <f t="shared" ref="B47:M47" si="11">(((((B41)+(B42))+(B43))+(B44))+(B45))+(B46)</f>
        <v>7995.15</v>
      </c>
      <c r="C47" s="5">
        <f t="shared" si="11"/>
        <v>499.46</v>
      </c>
      <c r="D47" s="5">
        <f t="shared" si="11"/>
        <v>1903.1</v>
      </c>
      <c r="E47" s="5">
        <f t="shared" si="11"/>
        <v>856</v>
      </c>
      <c r="F47" s="5">
        <f t="shared" si="11"/>
        <v>149.38</v>
      </c>
      <c r="G47" s="5">
        <f t="shared" si="11"/>
        <v>2168.9</v>
      </c>
      <c r="H47" s="5">
        <f t="shared" si="11"/>
        <v>3300</v>
      </c>
      <c r="I47" s="5">
        <f t="shared" si="11"/>
        <v>26874.68</v>
      </c>
      <c r="J47" s="5">
        <f t="shared" si="11"/>
        <v>12695</v>
      </c>
      <c r="K47" s="5">
        <f t="shared" si="11"/>
        <v>2375</v>
      </c>
      <c r="L47" s="5">
        <f t="shared" si="11"/>
        <v>0</v>
      </c>
      <c r="M47" s="5">
        <f t="shared" si="11"/>
        <v>5650</v>
      </c>
      <c r="N47" s="5">
        <f t="shared" si="6"/>
        <v>64466.67</v>
      </c>
      <c r="P47" s="491"/>
    </row>
    <row r="48" spans="1:16" x14ac:dyDescent="0.3">
      <c r="A48" s="1" t="s">
        <v>55</v>
      </c>
      <c r="B48" s="5">
        <f t="shared" ref="B48:M48" si="12">((((B18)+(B26))+(B35))+(B40))+(B47)</f>
        <v>36199.230000000003</v>
      </c>
      <c r="C48" s="5">
        <f t="shared" si="12"/>
        <v>125073.03000000001</v>
      </c>
      <c r="D48" s="5">
        <f t="shared" si="12"/>
        <v>86194.38</v>
      </c>
      <c r="E48" s="5">
        <f t="shared" si="12"/>
        <v>77286.459999999992</v>
      </c>
      <c r="F48" s="5">
        <f t="shared" si="12"/>
        <v>73039.12</v>
      </c>
      <c r="G48" s="5">
        <f t="shared" si="12"/>
        <v>31201.95</v>
      </c>
      <c r="H48" s="5">
        <f t="shared" si="12"/>
        <v>31497.85</v>
      </c>
      <c r="I48" s="5">
        <f t="shared" si="12"/>
        <v>63992.8675</v>
      </c>
      <c r="J48" s="5">
        <f t="shared" si="12"/>
        <v>42613.1875</v>
      </c>
      <c r="K48" s="5">
        <f t="shared" si="12"/>
        <v>30493.1875</v>
      </c>
      <c r="L48" s="5">
        <f t="shared" si="12"/>
        <v>28118.1875</v>
      </c>
      <c r="M48" s="5">
        <f t="shared" si="12"/>
        <v>34368.1875</v>
      </c>
      <c r="N48" s="5">
        <f t="shared" si="6"/>
        <v>660077.63749999995</v>
      </c>
      <c r="P48" s="491"/>
    </row>
    <row r="49" spans="1:16" x14ac:dyDescent="0.3">
      <c r="A49" s="1" t="s">
        <v>56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>
        <f t="shared" si="6"/>
        <v>0</v>
      </c>
      <c r="P49" s="491"/>
    </row>
    <row r="50" spans="1:16" x14ac:dyDescent="0.3">
      <c r="A50" s="1" t="s">
        <v>57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>
        <f t="shared" si="6"/>
        <v>0</v>
      </c>
      <c r="P50" s="491"/>
    </row>
    <row r="51" spans="1:16" x14ac:dyDescent="0.3">
      <c r="A51" s="1" t="s">
        <v>58</v>
      </c>
      <c r="B51" s="3">
        <f>1978.92</f>
        <v>1978.92</v>
      </c>
      <c r="C51" s="2"/>
      <c r="D51" s="3">
        <f>1185</f>
        <v>1185</v>
      </c>
      <c r="E51" s="3">
        <f>5154.97</f>
        <v>5154.97</v>
      </c>
      <c r="F51" s="2"/>
      <c r="G51" s="3">
        <f>1125</f>
        <v>1125</v>
      </c>
      <c r="H51" s="2">
        <f>SUM('[1]Example 1 _ Cash Flows'!AU17)</f>
        <v>1967.22</v>
      </c>
      <c r="I51" s="2">
        <f>'[1]Example 1 _ Cash Flows'!AU51</f>
        <v>3439.25</v>
      </c>
      <c r="J51" s="2">
        <f>'[1]Mid Year Budget _ Cash Flows '!AV94</f>
        <v>1747.6</v>
      </c>
      <c r="K51" s="2">
        <f>'[1]Mid Year Budget _ Cash Flows '!AV128</f>
        <v>0</v>
      </c>
      <c r="L51" s="2">
        <f>'[1]Mid Year Budget _ Cash Flows '!AV157</f>
        <v>0</v>
      </c>
      <c r="M51" s="2">
        <f>'[1]Example 1 _ Cash Flows'!AU166</f>
        <v>0</v>
      </c>
      <c r="N51" s="3">
        <f t="shared" si="6"/>
        <v>16597.96</v>
      </c>
      <c r="P51" s="491">
        <f>SUM(H51:M51)</f>
        <v>7154.07</v>
      </c>
    </row>
    <row r="52" spans="1:16" x14ac:dyDescent="0.3">
      <c r="A52" s="1" t="s">
        <v>59</v>
      </c>
      <c r="B52" s="3">
        <f>644.77</f>
        <v>644.77</v>
      </c>
      <c r="C52" s="3">
        <f>340.63</f>
        <v>340.63</v>
      </c>
      <c r="D52" s="3">
        <f>540.08</f>
        <v>540.08000000000004</v>
      </c>
      <c r="E52" s="3">
        <f>791.34</f>
        <v>791.34</v>
      </c>
      <c r="F52" s="3">
        <f>280</f>
        <v>280</v>
      </c>
      <c r="G52" s="3">
        <f>719.64</f>
        <v>719.64</v>
      </c>
      <c r="H52" s="126">
        <f>'[1]Mid Year Budget _ Cash Flows '!AY17</f>
        <v>0</v>
      </c>
      <c r="I52" s="226">
        <f>'[1]Mid Year Budget _ Cash Flows '!AY55</f>
        <v>200</v>
      </c>
      <c r="J52" s="226">
        <f>'[1]Mid Year Budget _ Cash Flows '!AY94</f>
        <v>600</v>
      </c>
      <c r="K52" s="226">
        <f>'[1]Mid Year Budget _ Cash Flows '!AY128</f>
        <v>600</v>
      </c>
      <c r="L52" s="226">
        <f>'[1]Mid Year Budget _ Cash Flows '!AY157</f>
        <v>1200</v>
      </c>
      <c r="M52" s="226">
        <f>'[1]Mid Year Budget _ Cash Flows '!AY189</f>
        <v>0</v>
      </c>
      <c r="N52" s="3">
        <f t="shared" si="6"/>
        <v>5916.46</v>
      </c>
      <c r="O52" s="481" t="s">
        <v>424</v>
      </c>
      <c r="P52" s="491">
        <f t="shared" ref="P52:P86" si="13">SUM(H52:M52)</f>
        <v>2600</v>
      </c>
    </row>
    <row r="53" spans="1:16" x14ac:dyDescent="0.3">
      <c r="A53" s="1" t="s">
        <v>60</v>
      </c>
      <c r="B53" s="3">
        <f>2640</f>
        <v>2640</v>
      </c>
      <c r="C53" s="2"/>
      <c r="D53" s="2"/>
      <c r="E53" s="3">
        <f>150</f>
        <v>150</v>
      </c>
      <c r="F53" s="2"/>
      <c r="G53" s="3">
        <f>600</f>
        <v>600</v>
      </c>
      <c r="H53" s="2">
        <f>SUM('[1]Example 1 _ Cash Flows'!AO17)</f>
        <v>330.78</v>
      </c>
      <c r="I53" s="2">
        <f>SUM('[1]Example 1 _ Cash Flows'!AO51)</f>
        <v>0</v>
      </c>
      <c r="J53" s="2">
        <f>'[1]Example 1 _ Cash Flows'!AO83</f>
        <v>0</v>
      </c>
      <c r="K53" s="2">
        <f>'[1]Example 1 _ Cash Flows'!AO112</f>
        <v>0</v>
      </c>
      <c r="L53" s="2">
        <f>'[1]Example 1 _ Cash Flows'!AO138</f>
        <v>0</v>
      </c>
      <c r="M53" s="2">
        <f>'[1]Example 1 _ Cash Flows'!AO166</f>
        <v>0</v>
      </c>
      <c r="N53" s="3">
        <f t="shared" si="6"/>
        <v>3720.7799999999997</v>
      </c>
      <c r="P53" s="491">
        <f t="shared" si="13"/>
        <v>330.78</v>
      </c>
    </row>
    <row r="54" spans="1:16" x14ac:dyDescent="0.3">
      <c r="A54" s="1" t="s">
        <v>61</v>
      </c>
      <c r="B54" s="2"/>
      <c r="C54" s="2"/>
      <c r="D54" s="2"/>
      <c r="E54" s="2"/>
      <c r="F54" s="2"/>
      <c r="G54" s="3">
        <f>90.67</f>
        <v>90.67</v>
      </c>
      <c r="H54" s="3">
        <f>1833.35</f>
        <v>1833.35</v>
      </c>
      <c r="I54" s="3">
        <f>1833.35</f>
        <v>1833.35</v>
      </c>
      <c r="J54" s="3">
        <f>1833.35</f>
        <v>1833.35</v>
      </c>
      <c r="K54" s="3">
        <f>1833.35</f>
        <v>1833.35</v>
      </c>
      <c r="L54" s="3">
        <f>1833.35</f>
        <v>1833.35</v>
      </c>
      <c r="M54" s="3">
        <f>1833.25</f>
        <v>1833.25</v>
      </c>
      <c r="N54" s="3">
        <f t="shared" si="6"/>
        <v>11090.67</v>
      </c>
      <c r="P54" s="491">
        <f t="shared" si="13"/>
        <v>11000</v>
      </c>
    </row>
    <row r="55" spans="1:16" x14ac:dyDescent="0.3">
      <c r="A55" s="1" t="s">
        <v>62</v>
      </c>
      <c r="B55" s="5">
        <f t="shared" ref="B55:M55" si="14">((((B50)+(B51))+(B52))+(B53))+(B54)</f>
        <v>5263.6900000000005</v>
      </c>
      <c r="C55" s="5">
        <f t="shared" si="14"/>
        <v>340.63</v>
      </c>
      <c r="D55" s="5">
        <f t="shared" si="14"/>
        <v>1725.08</v>
      </c>
      <c r="E55" s="5">
        <f t="shared" si="14"/>
        <v>6096.31</v>
      </c>
      <c r="F55" s="5">
        <f t="shared" si="14"/>
        <v>280</v>
      </c>
      <c r="G55" s="5">
        <f t="shared" si="14"/>
        <v>2535.31</v>
      </c>
      <c r="H55" s="5">
        <f t="shared" si="14"/>
        <v>4131.3500000000004</v>
      </c>
      <c r="I55" s="5">
        <f t="shared" si="14"/>
        <v>5472.6</v>
      </c>
      <c r="J55" s="5">
        <f t="shared" si="14"/>
        <v>4180.95</v>
      </c>
      <c r="K55" s="5">
        <f t="shared" si="14"/>
        <v>2433.35</v>
      </c>
      <c r="L55" s="5">
        <f t="shared" si="14"/>
        <v>3033.35</v>
      </c>
      <c r="M55" s="5">
        <f t="shared" si="14"/>
        <v>1833.25</v>
      </c>
      <c r="N55" s="5">
        <f t="shared" si="6"/>
        <v>37325.870000000003</v>
      </c>
      <c r="P55" s="491">
        <f t="shared" si="13"/>
        <v>21084.850000000002</v>
      </c>
    </row>
    <row r="56" spans="1:16" x14ac:dyDescent="0.3">
      <c r="A56" s="1" t="s">
        <v>63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>
        <f t="shared" si="6"/>
        <v>0</v>
      </c>
      <c r="P56" s="491">
        <f t="shared" si="13"/>
        <v>0</v>
      </c>
    </row>
    <row r="57" spans="1:16" x14ac:dyDescent="0.3">
      <c r="A57" s="1" t="s">
        <v>64</v>
      </c>
      <c r="B57" s="2"/>
      <c r="C57" s="3">
        <f>4227.52</f>
        <v>4227.5200000000004</v>
      </c>
      <c r="D57" s="3">
        <f>10350.25</f>
        <v>10350.25</v>
      </c>
      <c r="E57" s="3">
        <f>1753.2</f>
        <v>1753.2</v>
      </c>
      <c r="F57" s="3">
        <f>705.41</f>
        <v>705.41</v>
      </c>
      <c r="G57" s="3">
        <f>6814.65</f>
        <v>6814.65</v>
      </c>
      <c r="H57" s="3">
        <f>2900+'[1]Mid Year Budget _ Cash Flows '!AS17</f>
        <v>4046</v>
      </c>
      <c r="I57" s="226">
        <f>SUM('[1]Mid Year Budget _ Cash Flows '!AS55)</f>
        <v>1200</v>
      </c>
      <c r="J57" s="126"/>
      <c r="K57" s="126"/>
      <c r="L57" s="126"/>
      <c r="M57" s="126"/>
      <c r="N57" s="3">
        <f t="shared" si="6"/>
        <v>29097.03</v>
      </c>
      <c r="O57" s="481" t="s">
        <v>421</v>
      </c>
      <c r="P57" s="491">
        <f t="shared" si="13"/>
        <v>5246</v>
      </c>
    </row>
    <row r="58" spans="1:16" x14ac:dyDescent="0.3">
      <c r="A58" s="1" t="s">
        <v>65</v>
      </c>
      <c r="B58" s="3">
        <f>2080</f>
        <v>2080</v>
      </c>
      <c r="C58" s="3">
        <f>2080</f>
        <v>2080</v>
      </c>
      <c r="D58" s="3">
        <f>1580</f>
        <v>1580</v>
      </c>
      <c r="E58" s="3">
        <f>1080</f>
        <v>1080</v>
      </c>
      <c r="F58" s="3">
        <f>4660</f>
        <v>4660</v>
      </c>
      <c r="G58" s="3">
        <f>1080</f>
        <v>1080</v>
      </c>
      <c r="H58" s="3">
        <f>1080+'[1]Example 1 _ Cash Flows'!X17</f>
        <v>1080</v>
      </c>
      <c r="I58" s="2">
        <f>SUM('[1]Example 1 _ Cash Flows'!X51)</f>
        <v>1080</v>
      </c>
      <c r="J58" s="227">
        <f>SUM('[1]Mid Year Budget _ Cash Flows '!X94)</f>
        <v>33825</v>
      </c>
      <c r="K58" s="2">
        <f>'[1]Example 1 _ Cash Flows'!X112</f>
        <v>1080</v>
      </c>
      <c r="L58" s="2">
        <f>'[1]Example 1 _ Cash Flows'!X138</f>
        <v>1080</v>
      </c>
      <c r="M58" s="2">
        <f>'[1]Example 1 _ Cash Flows'!X166</f>
        <v>1080</v>
      </c>
      <c r="N58" s="3">
        <f t="shared" si="6"/>
        <v>51785</v>
      </c>
      <c r="O58" s="481" t="s">
        <v>403</v>
      </c>
      <c r="P58" s="491">
        <f t="shared" si="13"/>
        <v>39225</v>
      </c>
    </row>
    <row r="59" spans="1:16" x14ac:dyDescent="0.3">
      <c r="A59" s="1" t="s">
        <v>66</v>
      </c>
      <c r="B59" s="3">
        <f>2700</f>
        <v>2700</v>
      </c>
      <c r="C59" s="3">
        <f>3402.7</f>
        <v>3402.7</v>
      </c>
      <c r="D59" s="3">
        <f>288.35</f>
        <v>288.35000000000002</v>
      </c>
      <c r="E59" s="3">
        <f>200</f>
        <v>200</v>
      </c>
      <c r="F59" s="3">
        <f>200</f>
        <v>200</v>
      </c>
      <c r="G59" s="3">
        <f>200</f>
        <v>200</v>
      </c>
      <c r="H59" s="3">
        <f>200</f>
        <v>200</v>
      </c>
      <c r="I59" s="2">
        <f>SUM('[1]Example 1 _ Cash Flows'!AM51)</f>
        <v>200</v>
      </c>
      <c r="J59" s="2">
        <f>SUM('[1]Example 1 _ Cash Flows'!AM83)</f>
        <v>200</v>
      </c>
      <c r="K59" s="2">
        <f>SUM('[1]Example 1 _ Cash Flows'!AM112)</f>
        <v>200</v>
      </c>
      <c r="L59" s="2">
        <f>SUM('[1]Example 1 _ Cash Flows'!AM138)</f>
        <v>200</v>
      </c>
      <c r="M59" s="2">
        <f>SUM('[1]Example 1 _ Cash Flows'!AM166)</f>
        <v>200</v>
      </c>
      <c r="N59" s="3">
        <f t="shared" si="6"/>
        <v>8191.05</v>
      </c>
      <c r="P59" s="491">
        <f t="shared" si="13"/>
        <v>1200</v>
      </c>
    </row>
    <row r="60" spans="1:16" x14ac:dyDescent="0.3">
      <c r="A60" s="1" t="s">
        <v>67</v>
      </c>
      <c r="B60" s="5">
        <f t="shared" ref="B60:M60" si="15">(((B56)+(B57))+(B58))+(B59)</f>
        <v>4780</v>
      </c>
      <c r="C60" s="5">
        <f t="shared" si="15"/>
        <v>9710.2200000000012</v>
      </c>
      <c r="D60" s="5">
        <f t="shared" si="15"/>
        <v>12218.6</v>
      </c>
      <c r="E60" s="5">
        <f t="shared" si="15"/>
        <v>3033.2</v>
      </c>
      <c r="F60" s="5">
        <f t="shared" si="15"/>
        <v>5565.41</v>
      </c>
      <c r="G60" s="5">
        <f t="shared" si="15"/>
        <v>8094.65</v>
      </c>
      <c r="H60" s="5">
        <f t="shared" si="15"/>
        <v>5326</v>
      </c>
      <c r="I60" s="5">
        <f t="shared" si="15"/>
        <v>2480</v>
      </c>
      <c r="J60" s="5">
        <f t="shared" si="15"/>
        <v>34025</v>
      </c>
      <c r="K60" s="5">
        <f t="shared" si="15"/>
        <v>1280</v>
      </c>
      <c r="L60" s="5">
        <f t="shared" si="15"/>
        <v>1280</v>
      </c>
      <c r="M60" s="5">
        <f t="shared" si="15"/>
        <v>1280</v>
      </c>
      <c r="N60" s="5">
        <f t="shared" si="6"/>
        <v>89073.08</v>
      </c>
      <c r="P60" s="491">
        <f t="shared" si="13"/>
        <v>45671</v>
      </c>
    </row>
    <row r="61" spans="1:16" x14ac:dyDescent="0.3">
      <c r="A61" s="1" t="s">
        <v>68</v>
      </c>
      <c r="B61" s="5">
        <f t="shared" ref="B61:M61" si="16">((B49)+(B55))+(B60)</f>
        <v>10043.69</v>
      </c>
      <c r="C61" s="5">
        <f t="shared" si="16"/>
        <v>10050.85</v>
      </c>
      <c r="D61" s="5">
        <f t="shared" si="16"/>
        <v>13943.68</v>
      </c>
      <c r="E61" s="5">
        <f t="shared" si="16"/>
        <v>9129.51</v>
      </c>
      <c r="F61" s="5">
        <f t="shared" si="16"/>
        <v>5845.41</v>
      </c>
      <c r="G61" s="5">
        <f t="shared" si="16"/>
        <v>10629.96</v>
      </c>
      <c r="H61" s="5">
        <f t="shared" si="16"/>
        <v>9457.35</v>
      </c>
      <c r="I61" s="5">
        <f t="shared" si="16"/>
        <v>7952.6</v>
      </c>
      <c r="J61" s="5">
        <f t="shared" si="16"/>
        <v>38205.949999999997</v>
      </c>
      <c r="K61" s="5">
        <f t="shared" si="16"/>
        <v>3713.35</v>
      </c>
      <c r="L61" s="5">
        <f t="shared" si="16"/>
        <v>4313.3500000000004</v>
      </c>
      <c r="M61" s="5">
        <f t="shared" si="16"/>
        <v>3113.25</v>
      </c>
      <c r="N61" s="5">
        <f t="shared" si="6"/>
        <v>126398.95000000001</v>
      </c>
      <c r="P61" s="491">
        <f t="shared" si="13"/>
        <v>66755.849999999991</v>
      </c>
    </row>
    <row r="62" spans="1:16" x14ac:dyDescent="0.3">
      <c r="A62" s="1" t="s">
        <v>69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>
        <f t="shared" si="6"/>
        <v>0</v>
      </c>
      <c r="P62" s="491">
        <f t="shared" si="13"/>
        <v>0</v>
      </c>
    </row>
    <row r="63" spans="1:16" x14ac:dyDescent="0.3">
      <c r="A63" s="1" t="s">
        <v>389</v>
      </c>
      <c r="B63" s="2"/>
      <c r="C63" s="2"/>
      <c r="D63" s="2"/>
      <c r="E63" s="2"/>
      <c r="F63" s="2"/>
      <c r="G63" s="2"/>
      <c r="H63" s="2"/>
      <c r="I63" s="226">
        <f>'[1]BB Example 3 _ Cash Flows'!AX52</f>
        <v>5000</v>
      </c>
      <c r="J63" s="226">
        <f>'[1]BB Example 3 _ Cash Flows'!AX86</f>
        <v>5000</v>
      </c>
      <c r="K63" s="226">
        <f>'[1]BB Example 3 _ Cash Flows'!AX116</f>
        <v>5000</v>
      </c>
      <c r="L63" s="226">
        <f>'[1]BB Example 3 _ Cash Flows'!AX144</f>
        <v>5000</v>
      </c>
      <c r="M63" s="226">
        <f>'[1]BB Example 3 _ Cash Flows'!AX174</f>
        <v>5000</v>
      </c>
      <c r="N63" s="227">
        <f t="shared" si="6"/>
        <v>25000</v>
      </c>
      <c r="O63" s="481" t="s">
        <v>391</v>
      </c>
      <c r="P63" s="491">
        <f t="shared" si="13"/>
        <v>25000</v>
      </c>
    </row>
    <row r="64" spans="1:16" x14ac:dyDescent="0.3">
      <c r="A64" s="1" t="s">
        <v>71</v>
      </c>
      <c r="B64" s="3">
        <f>280</f>
        <v>280</v>
      </c>
      <c r="C64" s="3">
        <f>458.5</f>
        <v>458.5</v>
      </c>
      <c r="D64" s="3">
        <f>385</f>
        <v>385</v>
      </c>
      <c r="E64" s="3">
        <f>673.75</f>
        <v>673.75</v>
      </c>
      <c r="F64" s="3">
        <f>367.5</f>
        <v>367.5</v>
      </c>
      <c r="G64" s="2"/>
      <c r="H64" s="2">
        <f>SUM('[1]BB Example 2 _ Cash Flows'!AV17)</f>
        <v>750</v>
      </c>
      <c r="I64" s="226">
        <f>SUM('[1]BB Example 3 _ Cash Flows'!AV52)</f>
        <v>800</v>
      </c>
      <c r="J64" s="226">
        <f>'[1]BB Example 3 _ Cash Flows'!AV86</f>
        <v>800</v>
      </c>
      <c r="K64" s="226">
        <f>'[1]BB Example 3 _ Cash Flows'!AV116</f>
        <v>800</v>
      </c>
      <c r="L64" s="226">
        <f>'[1]BB Example 3 _ Cash Flows'!AV144</f>
        <v>800</v>
      </c>
      <c r="M64" s="226">
        <f>'[1]BB Example 3 _ Cash Flows'!AV174</f>
        <v>800</v>
      </c>
      <c r="N64" s="227">
        <f t="shared" si="6"/>
        <v>6914.75</v>
      </c>
      <c r="O64" s="481" t="s">
        <v>357</v>
      </c>
      <c r="P64" s="491">
        <f t="shared" si="13"/>
        <v>4750</v>
      </c>
    </row>
    <row r="65" spans="1:16" x14ac:dyDescent="0.3">
      <c r="A65" s="1" t="s">
        <v>72</v>
      </c>
      <c r="B65" s="2"/>
      <c r="C65" s="2"/>
      <c r="D65" s="2"/>
      <c r="E65" s="2"/>
      <c r="F65" s="3">
        <f>263.97</f>
        <v>263.97000000000003</v>
      </c>
      <c r="G65" s="3">
        <f>124.02</f>
        <v>124.02</v>
      </c>
      <c r="H65" s="127">
        <f>2</f>
        <v>2</v>
      </c>
      <c r="I65" s="126"/>
      <c r="J65" s="126"/>
      <c r="K65" s="126"/>
      <c r="L65" s="126"/>
      <c r="M65" s="126"/>
      <c r="N65" s="3">
        <f>(((((((((((B65)+(C65))+(D65))+(E65))+(F65))+(G65))+(H65))+(I65))+(J65))+(K65))+(L65))+(M65)</f>
        <v>389.99</v>
      </c>
      <c r="P65" s="491">
        <f t="shared" si="13"/>
        <v>2</v>
      </c>
    </row>
    <row r="66" spans="1:16" x14ac:dyDescent="0.3">
      <c r="A66" s="1" t="s">
        <v>73</v>
      </c>
      <c r="B66" s="2"/>
      <c r="C66" s="2"/>
      <c r="D66" s="2"/>
      <c r="E66" s="3">
        <f>35.25</f>
        <v>35.25</v>
      </c>
      <c r="F66" s="2"/>
      <c r="G66" s="3">
        <f>122.74</f>
        <v>122.74</v>
      </c>
      <c r="H66" s="127">
        <f>4350.62</f>
        <v>4350.62</v>
      </c>
      <c r="I66" s="126"/>
      <c r="J66" s="126"/>
      <c r="K66" s="126"/>
      <c r="L66" s="126"/>
      <c r="M66" s="126"/>
      <c r="N66" s="3">
        <f>(((((((((((B66)+(C66))+(D66))+(E66))+(F66))+(G66))+(H66))+(I66))+(J66))+(K66))+(L66))+(M66)</f>
        <v>4508.6099999999997</v>
      </c>
      <c r="P66" s="491">
        <f t="shared" si="13"/>
        <v>4350.62</v>
      </c>
    </row>
    <row r="67" spans="1:16" x14ac:dyDescent="0.3">
      <c r="A67" s="1" t="s">
        <v>74</v>
      </c>
      <c r="B67" s="3">
        <f>259.83</f>
        <v>259.83</v>
      </c>
      <c r="C67" s="3">
        <f>115.34</f>
        <v>115.34</v>
      </c>
      <c r="D67" s="3">
        <f>146.04</f>
        <v>146.04</v>
      </c>
      <c r="E67" s="3">
        <f>132.68</f>
        <v>132.68</v>
      </c>
      <c r="F67" s="3">
        <f>243.28</f>
        <v>243.28</v>
      </c>
      <c r="G67" s="3">
        <f>131.71</f>
        <v>131.71</v>
      </c>
      <c r="H67" s="3">
        <f>122.82</f>
        <v>122.82</v>
      </c>
      <c r="I67" s="2">
        <f>SUM('[1]Example 1 _ Cash Flows'!AF51)</f>
        <v>150</v>
      </c>
      <c r="J67" s="2">
        <f>SUM('[1]Example 1 _ Cash Flows'!AF83)</f>
        <v>150</v>
      </c>
      <c r="K67" s="2">
        <f>SUM('[1]Example 1 _ Cash Flows'!AF112)</f>
        <v>150</v>
      </c>
      <c r="L67" s="2">
        <f>SUM('[1]Example 1 _ Cash Flows'!AF138)</f>
        <v>150</v>
      </c>
      <c r="M67" s="2">
        <f>SUM('[1]Example 1 _ Cash Flows'!AF166)</f>
        <v>150</v>
      </c>
      <c r="N67" s="3">
        <f t="shared" si="6"/>
        <v>1901.6999999999998</v>
      </c>
      <c r="P67" s="491">
        <f t="shared" si="13"/>
        <v>872.81999999999994</v>
      </c>
    </row>
    <row r="68" spans="1:16" x14ac:dyDescent="0.3">
      <c r="A68" s="1" t="s">
        <v>75</v>
      </c>
      <c r="B68" s="3">
        <f>912.46</f>
        <v>912.46</v>
      </c>
      <c r="C68" s="3">
        <f>979.84</f>
        <v>979.84</v>
      </c>
      <c r="D68" s="3">
        <f>658.85</f>
        <v>658.85</v>
      </c>
      <c r="E68" s="3">
        <f>982.95</f>
        <v>982.95</v>
      </c>
      <c r="F68" s="3">
        <f>814.83</f>
        <v>814.83</v>
      </c>
      <c r="G68" s="3">
        <f>1166.7</f>
        <v>1166.7</v>
      </c>
      <c r="H68" s="3">
        <f>SUM(I68)</f>
        <v>778.6875</v>
      </c>
      <c r="I68" s="2">
        <f>'[1]Example 1 _ Cash Flows'!Y51</f>
        <v>778.6875</v>
      </c>
      <c r="J68" s="2">
        <f>'[1]Example 1 _ Cash Flows'!Y83</f>
        <v>778.6875</v>
      </c>
      <c r="K68" s="2">
        <f>'[1]Example 1 _ Cash Flows'!Y112</f>
        <v>778.6875</v>
      </c>
      <c r="L68" s="2">
        <f>'[1]Example 1 _ Cash Flows'!Y138</f>
        <v>778.6875</v>
      </c>
      <c r="M68" s="2">
        <f>'[1]Example 1 _ Cash Flows'!Y166</f>
        <v>778.6875</v>
      </c>
      <c r="N68" s="3">
        <f t="shared" si="6"/>
        <v>10187.755000000001</v>
      </c>
      <c r="P68" s="491">
        <f>SUM(I68:M68)</f>
        <v>3893.4375</v>
      </c>
    </row>
    <row r="69" spans="1:16" x14ac:dyDescent="0.3">
      <c r="A69" s="1" t="s">
        <v>76</v>
      </c>
      <c r="B69" s="3">
        <f>279.99</f>
        <v>279.99</v>
      </c>
      <c r="C69" s="3">
        <f>4359.99</f>
        <v>4359.99</v>
      </c>
      <c r="D69" s="2"/>
      <c r="E69" s="3">
        <f>1290</f>
        <v>1290</v>
      </c>
      <c r="F69" s="2"/>
      <c r="G69" s="2"/>
      <c r="H69" s="126"/>
      <c r="I69" s="126"/>
      <c r="J69" s="126"/>
      <c r="K69" s="126"/>
      <c r="L69" s="126"/>
      <c r="M69" s="126"/>
      <c r="N69" s="3">
        <f t="shared" si="6"/>
        <v>5929.98</v>
      </c>
      <c r="P69" s="491">
        <f t="shared" si="13"/>
        <v>0</v>
      </c>
    </row>
    <row r="70" spans="1:16" x14ac:dyDescent="0.3">
      <c r="A70" s="1" t="s">
        <v>77</v>
      </c>
      <c r="B70" s="3">
        <f>66</f>
        <v>66</v>
      </c>
      <c r="C70" s="2"/>
      <c r="D70" s="2"/>
      <c r="E70" s="2"/>
      <c r="F70" s="2"/>
      <c r="G70" s="2"/>
      <c r="H70" s="127">
        <f>49</f>
        <v>49</v>
      </c>
      <c r="I70" s="126"/>
      <c r="J70" s="126"/>
      <c r="K70" s="126"/>
      <c r="L70" s="126"/>
      <c r="M70" s="126"/>
      <c r="N70" s="3">
        <f t="shared" si="6"/>
        <v>115</v>
      </c>
      <c r="P70" s="491">
        <f t="shared" si="13"/>
        <v>49</v>
      </c>
    </row>
    <row r="71" spans="1:16" x14ac:dyDescent="0.3">
      <c r="A71" s="1" t="s">
        <v>78</v>
      </c>
      <c r="B71" s="2"/>
      <c r="C71" s="3">
        <f>165.98</f>
        <v>165.98</v>
      </c>
      <c r="D71" s="3">
        <f>381.04</f>
        <v>381.04</v>
      </c>
      <c r="E71" s="3">
        <f>347.66</f>
        <v>347.66</v>
      </c>
      <c r="F71" s="3">
        <f>752.46</f>
        <v>752.46</v>
      </c>
      <c r="G71" s="3">
        <f>297.77</f>
        <v>297.77</v>
      </c>
      <c r="H71" s="126"/>
      <c r="I71" s="126"/>
      <c r="J71" s="126"/>
      <c r="K71" s="126"/>
      <c r="L71" s="126"/>
      <c r="M71" s="126"/>
      <c r="N71" s="3">
        <f t="shared" si="6"/>
        <v>1944.91</v>
      </c>
      <c r="P71" s="491">
        <f t="shared" si="13"/>
        <v>0</v>
      </c>
    </row>
    <row r="72" spans="1:16" x14ac:dyDescent="0.3">
      <c r="A72" s="1" t="s">
        <v>79</v>
      </c>
      <c r="B72" s="3">
        <f>1317.74</f>
        <v>1317.74</v>
      </c>
      <c r="C72" s="3">
        <f>568.94</f>
        <v>568.94000000000005</v>
      </c>
      <c r="D72" s="3">
        <f>131.25</f>
        <v>131.25</v>
      </c>
      <c r="E72" s="3">
        <f>53.93</f>
        <v>53.93</v>
      </c>
      <c r="F72" s="3">
        <f>878</f>
        <v>878</v>
      </c>
      <c r="G72" s="3">
        <f>1472.34</f>
        <v>1472.34</v>
      </c>
      <c r="H72" s="127">
        <f>0</f>
        <v>0</v>
      </c>
      <c r="I72" s="126"/>
      <c r="J72" s="126"/>
      <c r="K72" s="126"/>
      <c r="L72" s="126"/>
      <c r="M72" s="126"/>
      <c r="N72" s="3">
        <f t="shared" si="6"/>
        <v>4422.2</v>
      </c>
      <c r="P72" s="491">
        <f t="shared" si="13"/>
        <v>0</v>
      </c>
    </row>
    <row r="73" spans="1:16" x14ac:dyDescent="0.3">
      <c r="A73" s="1" t="s">
        <v>80</v>
      </c>
      <c r="B73" s="3">
        <f>51.8</f>
        <v>51.8</v>
      </c>
      <c r="C73" s="3">
        <f>524.53</f>
        <v>524.53</v>
      </c>
      <c r="D73" s="3">
        <f>111.95</f>
        <v>111.95</v>
      </c>
      <c r="E73" s="3">
        <f>213.08</f>
        <v>213.08</v>
      </c>
      <c r="F73" s="3">
        <f>304.39</f>
        <v>304.39</v>
      </c>
      <c r="G73" s="3">
        <f>100.45</f>
        <v>100.45</v>
      </c>
      <c r="H73" s="127">
        <f>55</f>
        <v>55</v>
      </c>
      <c r="I73" s="126"/>
      <c r="J73" s="126"/>
      <c r="K73" s="126"/>
      <c r="L73" s="126"/>
      <c r="M73" s="126"/>
      <c r="N73" s="3">
        <f t="shared" si="6"/>
        <v>1361.2</v>
      </c>
      <c r="P73" s="491">
        <f t="shared" si="13"/>
        <v>55</v>
      </c>
    </row>
    <row r="74" spans="1:16" x14ac:dyDescent="0.3">
      <c r="A74" s="1" t="s">
        <v>81</v>
      </c>
      <c r="B74" s="3">
        <f>817.24</f>
        <v>817.24</v>
      </c>
      <c r="C74" s="3">
        <f>1413.11</f>
        <v>1413.11</v>
      </c>
      <c r="D74" s="3">
        <f>1005.44</f>
        <v>1005.44</v>
      </c>
      <c r="E74" s="3">
        <f>2662.69</f>
        <v>2662.69</v>
      </c>
      <c r="F74" s="3">
        <f>3020.58</f>
        <v>3020.58</v>
      </c>
      <c r="G74" s="3">
        <f>395.97</f>
        <v>395.97</v>
      </c>
      <c r="H74" s="2"/>
      <c r="I74" s="2">
        <f>'[1]Mid Year Budget _ Cash Flows '!BD55</f>
        <v>1750</v>
      </c>
      <c r="J74" s="2">
        <f>'[1]Mid Year Budget _ Cash Flows '!BD94</f>
        <v>1750</v>
      </c>
      <c r="K74" s="2">
        <f>'[1]Mid Year Budget _ Cash Flows '!BD128</f>
        <v>4340</v>
      </c>
      <c r="L74" s="2">
        <f>'[1]Mid Year Budget _ Cash Flows '!BD157</f>
        <v>1750</v>
      </c>
      <c r="M74" s="2">
        <f>'[1]Mid Year Budget _ Cash Flows '!BD189</f>
        <v>1750</v>
      </c>
      <c r="N74" s="3">
        <f t="shared" si="6"/>
        <v>20655.03</v>
      </c>
      <c r="P74" s="491">
        <f t="shared" si="13"/>
        <v>11340</v>
      </c>
    </row>
    <row r="75" spans="1:16" x14ac:dyDescent="0.3">
      <c r="A75" s="1" t="s">
        <v>82</v>
      </c>
      <c r="B75" s="5">
        <f t="shared" ref="B75:M75" si="17">(((((((((((B63)+(B64))+(B65))+(B66))+(B67))+(B68))+(B69))+(B70))+(B71))+(B72))+(B73))+(B74)</f>
        <v>3985.0600000000004</v>
      </c>
      <c r="C75" s="5">
        <f t="shared" si="17"/>
        <v>8586.23</v>
      </c>
      <c r="D75" s="5">
        <f t="shared" si="17"/>
        <v>2819.5699999999997</v>
      </c>
      <c r="E75" s="5">
        <f t="shared" si="17"/>
        <v>6391.99</v>
      </c>
      <c r="F75" s="5">
        <f t="shared" si="17"/>
        <v>6645.01</v>
      </c>
      <c r="G75" s="5">
        <f t="shared" si="17"/>
        <v>3811.7</v>
      </c>
      <c r="H75" s="5">
        <f t="shared" si="17"/>
        <v>6108.1274999999996</v>
      </c>
      <c r="I75" s="5">
        <f>(((((((((((I63)+(I64))+(I65))+(I66))+(I67))+(I68))+(I69))+(I70))+(I71))+(I72))+(I73))+(I74)</f>
        <v>8478.6875</v>
      </c>
      <c r="J75" s="5">
        <f t="shared" si="17"/>
        <v>8478.6875</v>
      </c>
      <c r="K75" s="5">
        <f t="shared" si="17"/>
        <v>11068.6875</v>
      </c>
      <c r="L75" s="5">
        <f t="shared" si="17"/>
        <v>8478.6875</v>
      </c>
      <c r="M75" s="5">
        <f t="shared" si="17"/>
        <v>8478.6875</v>
      </c>
      <c r="N75" s="5">
        <f t="shared" si="6"/>
        <v>83331.125</v>
      </c>
      <c r="P75" s="491">
        <f t="shared" si="13"/>
        <v>51091.565000000002</v>
      </c>
    </row>
    <row r="76" spans="1:16" x14ac:dyDescent="0.3">
      <c r="A76" s="1" t="s">
        <v>83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>
        <f t="shared" si="6"/>
        <v>0</v>
      </c>
      <c r="P76" s="491">
        <f t="shared" si="13"/>
        <v>0</v>
      </c>
    </row>
    <row r="77" spans="1:16" x14ac:dyDescent="0.3">
      <c r="A77" s="1" t="s">
        <v>84</v>
      </c>
      <c r="B77" s="3">
        <f>2530</f>
        <v>2530</v>
      </c>
      <c r="C77" s="3">
        <f>2350</f>
        <v>2350</v>
      </c>
      <c r="D77" s="3">
        <f>2350</f>
        <v>2350</v>
      </c>
      <c r="E77" s="3">
        <f>2350</f>
        <v>2350</v>
      </c>
      <c r="F77" s="3">
        <f>2350</f>
        <v>2350</v>
      </c>
      <c r="G77" s="3">
        <f>2350</f>
        <v>2350</v>
      </c>
      <c r="H77" s="3">
        <f>2350</f>
        <v>2350</v>
      </c>
      <c r="I77" s="3">
        <f>'[1]Example 1 _ Cash Flows'!AC51</f>
        <v>2350</v>
      </c>
      <c r="J77" s="2">
        <f>'[1]Example 1 _ Cash Flows'!AC83</f>
        <v>2350</v>
      </c>
      <c r="K77" s="2">
        <f>'[1]Example 1 _ Cash Flows'!AC112</f>
        <v>2350</v>
      </c>
      <c r="L77" s="2">
        <f>'[1]Example 1 _ Cash Flows'!AC138</f>
        <v>2350</v>
      </c>
      <c r="M77" s="2">
        <f>'[1]Example 1 _ Cash Flows'!AC166</f>
        <v>2350</v>
      </c>
      <c r="N77" s="3">
        <f t="shared" si="6"/>
        <v>28380</v>
      </c>
      <c r="P77" s="491">
        <f>SUM(I77:M77)</f>
        <v>11750</v>
      </c>
    </row>
    <row r="78" spans="1:16" x14ac:dyDescent="0.3">
      <c r="A78" s="1" t="s">
        <v>85</v>
      </c>
      <c r="B78" s="3">
        <f>2126.31</f>
        <v>2126.31</v>
      </c>
      <c r="C78" s="2"/>
      <c r="D78" s="2"/>
      <c r="E78" s="2"/>
      <c r="F78" s="2"/>
      <c r="G78" s="2"/>
      <c r="H78" s="126"/>
      <c r="I78" s="126"/>
      <c r="J78" s="126"/>
      <c r="K78" s="126"/>
      <c r="L78" s="126"/>
      <c r="M78" s="126"/>
      <c r="N78" s="3">
        <f t="shared" si="6"/>
        <v>2126.31</v>
      </c>
      <c r="P78" s="491">
        <f t="shared" si="13"/>
        <v>0</v>
      </c>
    </row>
    <row r="79" spans="1:16" x14ac:dyDescent="0.3">
      <c r="A79" s="1" t="s">
        <v>86</v>
      </c>
      <c r="B79" s="3">
        <f>687.41</f>
        <v>687.41</v>
      </c>
      <c r="C79" s="3">
        <f>483.45</f>
        <v>483.45</v>
      </c>
      <c r="D79" s="3">
        <f>318.7</f>
        <v>318.7</v>
      </c>
      <c r="E79" s="3">
        <f>819.87</f>
        <v>819.87</v>
      </c>
      <c r="F79" s="3">
        <f>339.41</f>
        <v>339.41</v>
      </c>
      <c r="G79" s="3">
        <f>218.49</f>
        <v>218.49</v>
      </c>
      <c r="H79" s="3">
        <f>94.95+'[1]Example 1 _ Cash Flows'!U17</f>
        <v>194.95</v>
      </c>
      <c r="I79" s="2">
        <f>'[1]Example 1 _ Cash Flows'!U51</f>
        <v>294.95</v>
      </c>
      <c r="J79" s="2">
        <f>'[1]Example 1 _ Cash Flows'!U83</f>
        <v>294.95</v>
      </c>
      <c r="K79" s="2">
        <f>'[1]Example 1 _ Cash Flows'!U112</f>
        <v>294.95</v>
      </c>
      <c r="L79" s="2">
        <f>'[1]Example 1 _ Cash Flows'!U138</f>
        <v>294.95</v>
      </c>
      <c r="M79" s="2">
        <f>'[1]Example 1 _ Cash Flows'!U166</f>
        <v>294.95</v>
      </c>
      <c r="N79" s="3">
        <f t="shared" si="6"/>
        <v>4537.0299999999988</v>
      </c>
      <c r="P79" s="491">
        <f t="shared" si="13"/>
        <v>1669.7</v>
      </c>
    </row>
    <row r="80" spans="1:16" x14ac:dyDescent="0.3">
      <c r="A80" s="1" t="s">
        <v>87</v>
      </c>
      <c r="B80" s="2"/>
      <c r="C80" s="3">
        <f>62.58</f>
        <v>62.58</v>
      </c>
      <c r="D80" s="2"/>
      <c r="E80" s="2"/>
      <c r="F80" s="2"/>
      <c r="G80" s="2"/>
      <c r="H80" s="126"/>
      <c r="I80" s="126"/>
      <c r="J80" s="126"/>
      <c r="K80" s="126"/>
      <c r="L80" s="126"/>
      <c r="M80" s="126"/>
      <c r="N80" s="3">
        <f t="shared" si="6"/>
        <v>62.58</v>
      </c>
      <c r="P80" s="491">
        <f t="shared" si="13"/>
        <v>0</v>
      </c>
    </row>
    <row r="81" spans="1:16" x14ac:dyDescent="0.3">
      <c r="A81" s="1" t="s">
        <v>88</v>
      </c>
      <c r="B81" s="3">
        <f>970.79</f>
        <v>970.79</v>
      </c>
      <c r="C81" s="3">
        <f>912.44</f>
        <v>912.44</v>
      </c>
      <c r="D81" s="3">
        <f>1010.57</f>
        <v>1010.57</v>
      </c>
      <c r="E81" s="3">
        <f>870.18</f>
        <v>870.18</v>
      </c>
      <c r="F81" s="3">
        <f>813.03</f>
        <v>813.03</v>
      </c>
      <c r="G81" s="3">
        <f>812.9</f>
        <v>812.9</v>
      </c>
      <c r="H81" s="3">
        <f>200+'[1]Example 1 _ Cash Flows'!V17+'[1]Example 1 _ Cash Flows'!W17</f>
        <v>1651.8200000000002</v>
      </c>
      <c r="I81" s="3">
        <f>200+'[1]Example 1 _ Cash Flows'!V51</f>
        <v>908.65</v>
      </c>
      <c r="J81" s="3">
        <f>200+'[1]Example 1 _ Cash Flows'!V83</f>
        <v>908.65</v>
      </c>
      <c r="K81" s="3">
        <f>200+'[1]Example 1 _ Cash Flows'!V112</f>
        <v>908.65</v>
      </c>
      <c r="L81" s="3">
        <f>200+'[1]Example 1 _ Cash Flows'!V138</f>
        <v>908.65</v>
      </c>
      <c r="M81" s="3">
        <f>200+'[1]Example 1 _ Cash Flows'!V166</f>
        <v>908.65</v>
      </c>
      <c r="N81" s="3">
        <f t="shared" si="6"/>
        <v>11584.979999999998</v>
      </c>
      <c r="P81" s="492">
        <f>SUM(I81:M81)</f>
        <v>4543.25</v>
      </c>
    </row>
    <row r="82" spans="1:16" x14ac:dyDescent="0.3">
      <c r="A82" s="1" t="s">
        <v>89</v>
      </c>
      <c r="B82" s="3">
        <f>719.91</f>
        <v>719.91</v>
      </c>
      <c r="C82" s="3">
        <f>813.28</f>
        <v>813.28</v>
      </c>
      <c r="D82" s="3">
        <f>831.52</f>
        <v>831.52</v>
      </c>
      <c r="E82" s="3">
        <f>735.63</f>
        <v>735.63</v>
      </c>
      <c r="F82" s="3">
        <f>532.08</f>
        <v>532.08000000000004</v>
      </c>
      <c r="G82" s="3">
        <f>835.76</f>
        <v>835.76</v>
      </c>
      <c r="H82" s="3">
        <f>362.8+'[1]Example 1 _ Cash Flows'!W17</f>
        <v>1355.97</v>
      </c>
      <c r="I82" s="3">
        <f>44.94+'[1]Example 1 _ Cash Flows'!W51</f>
        <v>1105.8375000000001</v>
      </c>
      <c r="J82" s="2">
        <f>SUM('[1]Example 1 _ Cash Flows'!W83)</f>
        <v>779.72749999999996</v>
      </c>
      <c r="K82" s="2">
        <f>SUM('[1]Example 1 _ Cash Flows'!W112)</f>
        <v>779.72749999999996</v>
      </c>
      <c r="L82" s="2">
        <f>SUM('[1]Example 1 _ Cash Flows'!W138)</f>
        <v>779.72749999999996</v>
      </c>
      <c r="M82" s="2">
        <f>SUM('[1]Example 1 _ Cash Flows'!W166)</f>
        <v>779.72749999999996</v>
      </c>
      <c r="N82" s="3">
        <f t="shared" ref="N82:N99" si="18">(((((((((((B82)+(C82))+(D82))+(E82))+(F82))+(G82))+(H82))+(I82))+(J82))+(K82))+(L82))+(M82)</f>
        <v>10048.897500000003</v>
      </c>
      <c r="P82" s="492">
        <f>SUM(H82:M82)</f>
        <v>5580.7174999999997</v>
      </c>
    </row>
    <row r="83" spans="1:16" x14ac:dyDescent="0.3">
      <c r="A83" s="1" t="s">
        <v>90</v>
      </c>
      <c r="B83" s="3">
        <f t="shared" ref="B83:G83" si="19">281.32</f>
        <v>281.32</v>
      </c>
      <c r="C83" s="3">
        <f t="shared" si="19"/>
        <v>281.32</v>
      </c>
      <c r="D83" s="3">
        <f t="shared" si="19"/>
        <v>281.32</v>
      </c>
      <c r="E83" s="3">
        <f t="shared" si="19"/>
        <v>281.32</v>
      </c>
      <c r="F83" s="3">
        <f t="shared" si="19"/>
        <v>281.32</v>
      </c>
      <c r="G83" s="3">
        <f t="shared" si="19"/>
        <v>281.32</v>
      </c>
      <c r="H83" s="126"/>
      <c r="I83" s="126"/>
      <c r="J83" s="126"/>
      <c r="K83" s="126"/>
      <c r="L83" s="126"/>
      <c r="M83" s="126"/>
      <c r="N83" s="3">
        <f t="shared" si="18"/>
        <v>1687.9199999999998</v>
      </c>
      <c r="P83" s="491">
        <f t="shared" si="13"/>
        <v>0</v>
      </c>
    </row>
    <row r="84" spans="1:16" x14ac:dyDescent="0.3">
      <c r="A84" s="1" t="s">
        <v>91</v>
      </c>
      <c r="B84" s="5">
        <f t="shared" ref="B84:M84" si="20">(((((((B76)+(B77))+(B78))+(B79))+(B80))+(B81))+(B82))+(B83)</f>
        <v>7315.7399999999989</v>
      </c>
      <c r="C84" s="5">
        <f t="shared" si="20"/>
        <v>4903.07</v>
      </c>
      <c r="D84" s="5">
        <f t="shared" si="20"/>
        <v>4792.1099999999997</v>
      </c>
      <c r="E84" s="5">
        <f t="shared" si="20"/>
        <v>5056.9999999999991</v>
      </c>
      <c r="F84" s="5">
        <f t="shared" si="20"/>
        <v>4315.8399999999992</v>
      </c>
      <c r="G84" s="5">
        <f t="shared" si="20"/>
        <v>4498.4699999999993</v>
      </c>
      <c r="H84" s="5">
        <f t="shared" si="20"/>
        <v>5552.7400000000007</v>
      </c>
      <c r="I84" s="5">
        <f>(((((((I76)+(M77))+(I78))+(I79))+(I80))+(I81))+(I82))+(I83)</f>
        <v>4659.4375</v>
      </c>
      <c r="J84" s="5">
        <f t="shared" si="20"/>
        <v>4333.3274999999994</v>
      </c>
      <c r="K84" s="5">
        <f t="shared" si="20"/>
        <v>4333.3274999999994</v>
      </c>
      <c r="L84" s="5">
        <f t="shared" si="20"/>
        <v>4333.3274999999994</v>
      </c>
      <c r="M84" s="5">
        <f t="shared" si="20"/>
        <v>4333.3274999999994</v>
      </c>
      <c r="N84" s="5">
        <f t="shared" si="18"/>
        <v>58427.717499999992</v>
      </c>
      <c r="P84" s="491">
        <f t="shared" si="13"/>
        <v>27545.487499999999</v>
      </c>
    </row>
    <row r="85" spans="1:16" x14ac:dyDescent="0.3">
      <c r="A85" s="1" t="s">
        <v>92</v>
      </c>
      <c r="B85" s="5">
        <f t="shared" ref="B85:M85" si="21">((B62)+(B75))+(B84)</f>
        <v>11300.8</v>
      </c>
      <c r="C85" s="5">
        <f t="shared" si="21"/>
        <v>13489.3</v>
      </c>
      <c r="D85" s="5">
        <f t="shared" si="21"/>
        <v>7611.6799999999994</v>
      </c>
      <c r="E85" s="5">
        <f t="shared" si="21"/>
        <v>11448.989999999998</v>
      </c>
      <c r="F85" s="5">
        <f t="shared" si="21"/>
        <v>10960.849999999999</v>
      </c>
      <c r="G85" s="5">
        <f t="shared" si="21"/>
        <v>8310.1699999999983</v>
      </c>
      <c r="H85" s="5">
        <f t="shared" si="21"/>
        <v>11660.8675</v>
      </c>
      <c r="I85" s="5">
        <f t="shared" si="21"/>
        <v>13138.125</v>
      </c>
      <c r="J85" s="5">
        <f t="shared" si="21"/>
        <v>12812.014999999999</v>
      </c>
      <c r="K85" s="5">
        <f t="shared" si="21"/>
        <v>15402.014999999999</v>
      </c>
      <c r="L85" s="5">
        <f t="shared" si="21"/>
        <v>12812.014999999999</v>
      </c>
      <c r="M85" s="5">
        <f t="shared" si="21"/>
        <v>12812.014999999999</v>
      </c>
      <c r="N85" s="5">
        <f t="shared" si="18"/>
        <v>141758.8425</v>
      </c>
      <c r="P85" s="491">
        <f t="shared" si="13"/>
        <v>78637.052500000005</v>
      </c>
    </row>
    <row r="86" spans="1:16" x14ac:dyDescent="0.3">
      <c r="A86" s="1" t="s">
        <v>93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>
        <f t="shared" si="18"/>
        <v>0</v>
      </c>
      <c r="P86" s="491">
        <f t="shared" si="13"/>
        <v>0</v>
      </c>
    </row>
    <row r="87" spans="1:16" x14ac:dyDescent="0.3">
      <c r="A87" s="1" t="s">
        <v>94</v>
      </c>
      <c r="B87" s="3">
        <f>35925.44</f>
        <v>35925.440000000002</v>
      </c>
      <c r="C87" s="3">
        <f>34250.9</f>
        <v>34250.9</v>
      </c>
      <c r="D87" s="3">
        <f>35708.8</f>
        <v>35708.800000000003</v>
      </c>
      <c r="E87" s="3">
        <f>25010.27</f>
        <v>25010.27</v>
      </c>
      <c r="F87" s="3">
        <f>28301.02</f>
        <v>28301.02</v>
      </c>
      <c r="G87" s="3">
        <f>26814.25</f>
        <v>26814.25</v>
      </c>
      <c r="H87" s="3">
        <f>26989.52</f>
        <v>26989.52</v>
      </c>
      <c r="I87" s="2">
        <f>SUM('[1]Example 1 _ Cash Flows'!AH51)</f>
        <v>27200</v>
      </c>
      <c r="J87" s="226">
        <f>SUM('[1]BB Example 2 _ Cash Flows'!AH82)</f>
        <v>20000</v>
      </c>
      <c r="K87" s="226">
        <f>SUM('[1]BB Example 2 _ Cash Flows'!AH110)</f>
        <v>20000</v>
      </c>
      <c r="L87" s="226">
        <f>SUM('[1]BB Example 2 _ Cash Flows'!AH136)</f>
        <v>20000</v>
      </c>
      <c r="M87" s="226">
        <f>SUM('[1]BB Example 2 _ Cash Flows'!AH164)</f>
        <v>20000</v>
      </c>
      <c r="N87" s="227">
        <f t="shared" si="18"/>
        <v>320200.19999999995</v>
      </c>
      <c r="O87" s="481" t="s">
        <v>404</v>
      </c>
      <c r="P87" s="491">
        <f>SUM(I87:M87)</f>
        <v>107200</v>
      </c>
    </row>
    <row r="88" spans="1:16" x14ac:dyDescent="0.3">
      <c r="A88" s="1" t="s">
        <v>95</v>
      </c>
      <c r="B88" s="3">
        <f>138</f>
        <v>138</v>
      </c>
      <c r="C88" s="3">
        <f>538.46</f>
        <v>538.46</v>
      </c>
      <c r="D88" s="3">
        <f>4081.2</f>
        <v>4081.2</v>
      </c>
      <c r="E88" s="3">
        <f>3500</f>
        <v>3500</v>
      </c>
      <c r="F88" s="3">
        <f>0</f>
        <v>0</v>
      </c>
      <c r="G88" s="3">
        <f>830.77</f>
        <v>830.77</v>
      </c>
      <c r="H88" s="2">
        <f>SUM(I88)</f>
        <v>2000</v>
      </c>
      <c r="I88" s="2">
        <f>SUM('[1]Example 1 _ Cash Flows'!AI51)</f>
        <v>2000</v>
      </c>
      <c r="J88" s="226">
        <f>'[1]BB Example 2 _ Cash Flows'!AI82</f>
        <v>1500</v>
      </c>
      <c r="K88" s="226">
        <f>'[1]BB Example 2 _ Cash Flows'!AI110</f>
        <v>1500</v>
      </c>
      <c r="L88" s="226">
        <f>'[1]BB Example 2 _ Cash Flows'!AI136</f>
        <v>1500</v>
      </c>
      <c r="M88" s="226">
        <f>'[1]BB Example 2 _ Cash Flows'!AI164</f>
        <v>1500</v>
      </c>
      <c r="N88" s="227">
        <f t="shared" si="18"/>
        <v>19088.43</v>
      </c>
      <c r="O88" s="481" t="s">
        <v>404</v>
      </c>
      <c r="P88" s="491">
        <f t="shared" ref="P88:P95" si="22">SUM(I88:M88)</f>
        <v>8000</v>
      </c>
    </row>
    <row r="89" spans="1:16" x14ac:dyDescent="0.3">
      <c r="A89" s="1" t="s">
        <v>96</v>
      </c>
      <c r="B89" s="3">
        <f>2979.87</f>
        <v>2979.87</v>
      </c>
      <c r="C89" s="3">
        <f>3003.23</f>
        <v>3003.23</v>
      </c>
      <c r="D89" s="3">
        <f>3102.92</f>
        <v>3102.92</v>
      </c>
      <c r="E89" s="3">
        <f>2247.14</f>
        <v>2247.14</v>
      </c>
      <c r="F89" s="3">
        <f>2295.92</f>
        <v>2295.92</v>
      </c>
      <c r="G89" s="3">
        <f>2114.85</f>
        <v>2114.85</v>
      </c>
      <c r="H89" s="3">
        <f>3578.4</f>
        <v>3578.4</v>
      </c>
      <c r="I89" s="2">
        <f>SUM('[1]Example 1 _ Cash Flows'!AJ51)</f>
        <v>4000</v>
      </c>
      <c r="J89" s="226">
        <f>'[1]BB Example 2 _ Cash Flows'!AJ82</f>
        <v>3000</v>
      </c>
      <c r="K89" s="226">
        <f>'[1]BB Example 2 _ Cash Flows'!AJ110</f>
        <v>3000</v>
      </c>
      <c r="L89" s="226">
        <f>'[1]BB Example 2 _ Cash Flows'!AJ136</f>
        <v>3000</v>
      </c>
      <c r="M89" s="226">
        <f>'[1]BB Example 2 _ Cash Flows'!AJ164</f>
        <v>3000</v>
      </c>
      <c r="N89" s="227">
        <f t="shared" si="18"/>
        <v>35322.33</v>
      </c>
      <c r="O89" s="481" t="s">
        <v>404</v>
      </c>
      <c r="P89" s="491">
        <f t="shared" si="22"/>
        <v>16000</v>
      </c>
    </row>
    <row r="90" spans="1:16" x14ac:dyDescent="0.3">
      <c r="A90" s="1" t="s">
        <v>97</v>
      </c>
      <c r="B90" s="3">
        <f>53</f>
        <v>53</v>
      </c>
      <c r="C90" s="3">
        <f>53</f>
        <v>53</v>
      </c>
      <c r="D90" s="3">
        <f>53</f>
        <v>53</v>
      </c>
      <c r="E90" s="3">
        <f>51</f>
        <v>51</v>
      </c>
      <c r="F90" s="3">
        <f>51</f>
        <v>51</v>
      </c>
      <c r="G90" s="3">
        <f>51</f>
        <v>51</v>
      </c>
      <c r="H90" s="2">
        <v>51</v>
      </c>
      <c r="I90" s="2">
        <f>'[1]Example 1 _ Cash Flows'!AR51</f>
        <v>63.75</v>
      </c>
      <c r="J90" s="2">
        <f>'[1]Example 1 _ Cash Flows'!AR83</f>
        <v>63.75</v>
      </c>
      <c r="K90" s="2">
        <f>'[1]Example 1 _ Cash Flows'!AR112</f>
        <v>63.75</v>
      </c>
      <c r="L90" s="2">
        <f>'[1]Example 1 _ Cash Flows'!AR138</f>
        <v>63.75</v>
      </c>
      <c r="M90" s="2">
        <f>'[1]Example 1 _ Cash Flows'!AR166</f>
        <v>63.75</v>
      </c>
      <c r="N90" s="3">
        <f t="shared" si="18"/>
        <v>681.75</v>
      </c>
      <c r="P90" s="491">
        <f t="shared" si="22"/>
        <v>318.75</v>
      </c>
    </row>
    <row r="91" spans="1:16" x14ac:dyDescent="0.3">
      <c r="A91" s="1" t="s">
        <v>98</v>
      </c>
      <c r="B91" s="3">
        <f>2704</f>
        <v>2704</v>
      </c>
      <c r="C91" s="2"/>
      <c r="D91" s="2"/>
      <c r="E91" s="3">
        <f>-532</f>
        <v>-532</v>
      </c>
      <c r="F91" s="2"/>
      <c r="G91" s="2"/>
      <c r="H91" s="126"/>
      <c r="I91" s="126"/>
      <c r="J91" s="126"/>
      <c r="K91" s="126"/>
      <c r="L91" s="126"/>
      <c r="M91" s="126"/>
      <c r="N91" s="3">
        <f t="shared" si="18"/>
        <v>2172</v>
      </c>
      <c r="P91" s="491">
        <f t="shared" si="22"/>
        <v>0</v>
      </c>
    </row>
    <row r="92" spans="1:16" x14ac:dyDescent="0.3">
      <c r="A92" s="1" t="s">
        <v>99</v>
      </c>
      <c r="B92" s="3">
        <f>2700</f>
        <v>2700</v>
      </c>
      <c r="C92" s="3">
        <f>2700</f>
        <v>2700</v>
      </c>
      <c r="D92" s="3">
        <f>2950</f>
        <v>2950</v>
      </c>
      <c r="E92" s="3">
        <f>2450</f>
        <v>2450</v>
      </c>
      <c r="F92" s="3">
        <f>2700</f>
        <v>2700</v>
      </c>
      <c r="G92" s="3">
        <f>2700</f>
        <v>2700</v>
      </c>
      <c r="H92" s="3">
        <f>2700</f>
        <v>2700</v>
      </c>
      <c r="I92" s="2">
        <f>SUM('[1]Example 1 _ Cash Flows'!AG51)</f>
        <v>2750</v>
      </c>
      <c r="J92" s="226">
        <f>'[1]BB Example 2 _ Cash Flows'!AG82</f>
        <v>2020</v>
      </c>
      <c r="K92" s="226">
        <f>'[1]BB Example 2 _ Cash Flows'!AG110</f>
        <v>2020</v>
      </c>
      <c r="L92" s="226">
        <f>'[1]BB Example 2 _ Cash Flows'!AG136</f>
        <v>2020</v>
      </c>
      <c r="M92" s="226">
        <f>'[1]BB Example 2 _ Cash Flows'!AG164</f>
        <v>2020</v>
      </c>
      <c r="N92" s="227">
        <f t="shared" si="18"/>
        <v>29730</v>
      </c>
      <c r="O92" s="481" t="s">
        <v>404</v>
      </c>
      <c r="P92" s="491">
        <f t="shared" si="22"/>
        <v>10830</v>
      </c>
    </row>
    <row r="93" spans="1:16" x14ac:dyDescent="0.3">
      <c r="A93" s="1" t="s">
        <v>100</v>
      </c>
      <c r="B93" s="2"/>
      <c r="C93" s="2"/>
      <c r="D93" s="2"/>
      <c r="E93" s="2"/>
      <c r="F93" s="3">
        <f>58.79</f>
        <v>58.79</v>
      </c>
      <c r="G93" s="2"/>
      <c r="H93" s="126"/>
      <c r="I93" s="126"/>
      <c r="J93" s="126"/>
      <c r="K93" s="126"/>
      <c r="L93" s="126"/>
      <c r="M93" s="126"/>
      <c r="N93" s="3">
        <f t="shared" si="18"/>
        <v>58.79</v>
      </c>
      <c r="P93" s="491">
        <f t="shared" si="22"/>
        <v>0</v>
      </c>
    </row>
    <row r="94" spans="1:16" x14ac:dyDescent="0.3">
      <c r="A94" s="1" t="s">
        <v>101</v>
      </c>
      <c r="B94" s="3">
        <f>200</f>
        <v>200</v>
      </c>
      <c r="C94" s="3">
        <f>200</f>
        <v>200</v>
      </c>
      <c r="D94" s="3">
        <f>200</f>
        <v>200</v>
      </c>
      <c r="E94" s="3">
        <f>200</f>
        <v>200</v>
      </c>
      <c r="F94" s="3">
        <f>200</f>
        <v>200</v>
      </c>
      <c r="G94" s="3">
        <f>462.5</f>
        <v>462.5</v>
      </c>
      <c r="H94" s="3">
        <f>200</f>
        <v>200</v>
      </c>
      <c r="I94" s="3">
        <f>200+'[1]Example 1 _ Cash Flows'!AK51</f>
        <v>450</v>
      </c>
      <c r="J94" s="3">
        <f>200+'[1]Example 1 _ Cash Flows'!AK83</f>
        <v>450</v>
      </c>
      <c r="K94" s="3">
        <f>200+'[1]Example 1 _ Cash Flows'!AK112</f>
        <v>450</v>
      </c>
      <c r="L94" s="3">
        <f>200+'[1]Example 1 _ Cash Flows'!AK138</f>
        <v>450</v>
      </c>
      <c r="M94" s="3">
        <f>200+'[1]Example 1 _ Cash Flows'!AK166</f>
        <v>450</v>
      </c>
      <c r="N94" s="3">
        <f t="shared" si="18"/>
        <v>3912.5</v>
      </c>
      <c r="P94" s="491">
        <f t="shared" si="22"/>
        <v>2250</v>
      </c>
    </row>
    <row r="95" spans="1:16" x14ac:dyDescent="0.3">
      <c r="A95" s="1" t="s">
        <v>102</v>
      </c>
      <c r="B95" s="3">
        <f>163.92</f>
        <v>163.92</v>
      </c>
      <c r="C95" s="2"/>
      <c r="D95" s="2"/>
      <c r="E95" s="2"/>
      <c r="F95" s="3">
        <f>166.24</f>
        <v>166.24</v>
      </c>
      <c r="G95" s="3">
        <f>50</f>
        <v>50</v>
      </c>
      <c r="H95" s="126"/>
      <c r="I95" s="126"/>
      <c r="J95" s="126"/>
      <c r="K95" s="126"/>
      <c r="L95" s="126"/>
      <c r="M95" s="126"/>
      <c r="N95" s="3">
        <f t="shared" si="18"/>
        <v>380.15999999999997</v>
      </c>
      <c r="P95" s="491">
        <f t="shared" si="22"/>
        <v>0</v>
      </c>
    </row>
    <row r="96" spans="1:16" x14ac:dyDescent="0.3">
      <c r="A96" s="1" t="s">
        <v>103</v>
      </c>
      <c r="B96" s="5">
        <f t="shared" ref="B96:M96" si="23">(((((((((B86)+(B87))+(B88))+(B89))+(B90))+(B91))+(B92))+(B93))+(B94))+(B95)</f>
        <v>44864.23</v>
      </c>
      <c r="C96" s="5">
        <f t="shared" si="23"/>
        <v>40745.590000000004</v>
      </c>
      <c r="D96" s="5">
        <f t="shared" si="23"/>
        <v>46095.92</v>
      </c>
      <c r="E96" s="5">
        <f t="shared" si="23"/>
        <v>32926.410000000003</v>
      </c>
      <c r="F96" s="5">
        <f t="shared" si="23"/>
        <v>33772.97</v>
      </c>
      <c r="G96" s="5">
        <f t="shared" si="23"/>
        <v>33023.369999999995</v>
      </c>
      <c r="H96" s="5">
        <f t="shared" si="23"/>
        <v>35518.92</v>
      </c>
      <c r="I96" s="5">
        <f t="shared" si="23"/>
        <v>36463.75</v>
      </c>
      <c r="J96" s="5">
        <f t="shared" si="23"/>
        <v>27033.75</v>
      </c>
      <c r="K96" s="5">
        <f t="shared" si="23"/>
        <v>27033.75</v>
      </c>
      <c r="L96" s="5">
        <f t="shared" si="23"/>
        <v>27033.75</v>
      </c>
      <c r="M96" s="5">
        <f t="shared" si="23"/>
        <v>27033.75</v>
      </c>
      <c r="N96" s="5">
        <f t="shared" si="18"/>
        <v>411546.16</v>
      </c>
    </row>
    <row r="97" spans="1:15" x14ac:dyDescent="0.3">
      <c r="A97" s="1" t="s">
        <v>104</v>
      </c>
      <c r="B97" s="5">
        <f t="shared" ref="B97:M97" si="24">(((B48)+(B61))+(B85))+(B96)</f>
        <v>102407.95000000001</v>
      </c>
      <c r="C97" s="5">
        <f t="shared" si="24"/>
        <v>189358.77</v>
      </c>
      <c r="D97" s="5">
        <f t="shared" si="24"/>
        <v>153845.65999999997</v>
      </c>
      <c r="E97" s="5">
        <f t="shared" si="24"/>
        <v>130791.37</v>
      </c>
      <c r="F97" s="5">
        <f t="shared" si="24"/>
        <v>123618.35</v>
      </c>
      <c r="G97" s="5">
        <f t="shared" si="24"/>
        <v>83165.45</v>
      </c>
      <c r="H97" s="5">
        <f t="shared" si="24"/>
        <v>88134.987499999988</v>
      </c>
      <c r="I97" s="5">
        <f t="shared" si="24"/>
        <v>121547.3425</v>
      </c>
      <c r="J97" s="5">
        <f t="shared" si="24"/>
        <v>120664.9025</v>
      </c>
      <c r="K97" s="5">
        <f t="shared" si="24"/>
        <v>76642.302499999991</v>
      </c>
      <c r="L97" s="5">
        <f t="shared" si="24"/>
        <v>72277.302499999991</v>
      </c>
      <c r="M97" s="5">
        <f t="shared" si="24"/>
        <v>77327.202499999999</v>
      </c>
      <c r="N97" s="5">
        <f t="shared" si="18"/>
        <v>1339781.5899999999</v>
      </c>
    </row>
    <row r="98" spans="1:15" x14ac:dyDescent="0.3">
      <c r="A98" s="1" t="s">
        <v>105</v>
      </c>
      <c r="B98" s="5">
        <f t="shared" ref="B98:M98" si="25">(B16)-(B97)</f>
        <v>16796.039999999994</v>
      </c>
      <c r="C98" s="5">
        <f t="shared" si="25"/>
        <v>-68812.349999999991</v>
      </c>
      <c r="D98" s="5">
        <f t="shared" si="25"/>
        <v>-34156.209999999977</v>
      </c>
      <c r="E98" s="5">
        <f t="shared" si="25"/>
        <v>54571.19</v>
      </c>
      <c r="F98" s="5">
        <f t="shared" si="25"/>
        <v>-3580.7300000000105</v>
      </c>
      <c r="G98" s="5">
        <f t="shared" si="25"/>
        <v>36035.460000000006</v>
      </c>
      <c r="H98" s="5">
        <f t="shared" si="25"/>
        <v>31037.232500000013</v>
      </c>
      <c r="I98" s="5">
        <f t="shared" si="25"/>
        <v>10324.877500000002</v>
      </c>
      <c r="J98" s="5">
        <f t="shared" si="25"/>
        <v>-1492.6824999999953</v>
      </c>
      <c r="K98" s="5">
        <f t="shared" si="25"/>
        <v>42529.91750000001</v>
      </c>
      <c r="L98" s="5">
        <f t="shared" si="25"/>
        <v>46894.91750000001</v>
      </c>
      <c r="M98" s="5">
        <f t="shared" si="25"/>
        <v>41845.017500000002</v>
      </c>
      <c r="N98" s="5">
        <f t="shared" si="18"/>
        <v>171992.68000000005</v>
      </c>
    </row>
    <row r="99" spans="1:15" x14ac:dyDescent="0.3">
      <c r="A99" s="1" t="s">
        <v>106</v>
      </c>
      <c r="B99" s="5">
        <f t="shared" ref="B99:M99" si="26">(B98)+(0)</f>
        <v>16796.039999999994</v>
      </c>
      <c r="C99" s="5">
        <f t="shared" si="26"/>
        <v>-68812.349999999991</v>
      </c>
      <c r="D99" s="5">
        <f t="shared" si="26"/>
        <v>-34156.209999999977</v>
      </c>
      <c r="E99" s="5">
        <f t="shared" si="26"/>
        <v>54571.19</v>
      </c>
      <c r="F99" s="5">
        <f t="shared" si="26"/>
        <v>-3580.7300000000105</v>
      </c>
      <c r="G99" s="5">
        <f t="shared" si="26"/>
        <v>36035.460000000006</v>
      </c>
      <c r="H99" s="5">
        <f t="shared" si="26"/>
        <v>31037.232500000013</v>
      </c>
      <c r="I99" s="5">
        <f t="shared" si="26"/>
        <v>10324.877500000002</v>
      </c>
      <c r="J99" s="5">
        <f t="shared" si="26"/>
        <v>-1492.6824999999953</v>
      </c>
      <c r="K99" s="5">
        <f t="shared" si="26"/>
        <v>42529.91750000001</v>
      </c>
      <c r="L99" s="5">
        <f t="shared" si="26"/>
        <v>46894.91750000001</v>
      </c>
      <c r="M99" s="5">
        <f t="shared" si="26"/>
        <v>41845.017500000002</v>
      </c>
      <c r="N99" s="5">
        <f t="shared" si="18"/>
        <v>171992.68000000005</v>
      </c>
    </row>
    <row r="100" spans="1:15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5" x14ac:dyDescent="0.3">
      <c r="A101" s="221"/>
      <c r="B101" s="222" t="s">
        <v>0</v>
      </c>
      <c r="C101" s="222" t="s">
        <v>1</v>
      </c>
      <c r="D101" s="222" t="s">
        <v>2</v>
      </c>
      <c r="E101" s="222" t="s">
        <v>3</v>
      </c>
      <c r="F101" s="222" t="s">
        <v>4</v>
      </c>
      <c r="G101" s="222" t="s">
        <v>5</v>
      </c>
      <c r="H101" s="222" t="s">
        <v>6</v>
      </c>
      <c r="I101" s="222" t="s">
        <v>7</v>
      </c>
      <c r="J101" s="222" t="s">
        <v>8</v>
      </c>
      <c r="K101" s="222" t="s">
        <v>9</v>
      </c>
      <c r="L101" s="222" t="s">
        <v>10</v>
      </c>
      <c r="M101" s="222" t="s">
        <v>11</v>
      </c>
      <c r="N101" s="222" t="s">
        <v>12</v>
      </c>
      <c r="O101" s="514" t="s">
        <v>349</v>
      </c>
    </row>
    <row r="103" spans="1:15" x14ac:dyDescent="0.3">
      <c r="A103" s="581" t="s">
        <v>107</v>
      </c>
      <c r="B103" s="582"/>
      <c r="C103" s="582"/>
      <c r="D103" s="582"/>
      <c r="E103" s="582"/>
      <c r="F103" s="582"/>
      <c r="G103" s="582"/>
      <c r="H103" s="582"/>
      <c r="I103" s="582"/>
      <c r="J103" s="582"/>
      <c r="K103" s="582"/>
      <c r="L103" s="582"/>
      <c r="M103" s="582"/>
      <c r="N103" s="582"/>
    </row>
  </sheetData>
  <mergeCells count="4">
    <mergeCell ref="A1:N1"/>
    <mergeCell ref="A2:N2"/>
    <mergeCell ref="A3:N3"/>
    <mergeCell ref="A103:N103"/>
  </mergeCells>
  <printOptions horizontalCentered="1"/>
  <pageMargins left="0.25" right="0.25" top="0.25" bottom="0.25" header="0" footer="0"/>
  <pageSetup scale="6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8CC8-B1E2-4CCE-8AB1-3BBBE2566E44}">
  <sheetPr codeName="Sheet1">
    <pageSetUpPr fitToPage="1"/>
  </sheetPr>
  <dimension ref="A1:BA203"/>
  <sheetViews>
    <sheetView zoomScaleNormal="100" workbookViewId="0">
      <pane ySplit="4" topLeftCell="A149" activePane="bottomLeft" state="frozen"/>
      <selection activeCell="I3" sqref="I3"/>
      <selection pane="bottomLeft" activeCell="Z183" sqref="Z183"/>
    </sheetView>
  </sheetViews>
  <sheetFormatPr defaultColWidth="9.109375" defaultRowHeight="14.4" x14ac:dyDescent="0.3"/>
  <cols>
    <col min="1" max="1" width="2.44140625" style="8" bestFit="1" customWidth="1"/>
    <col min="2" max="2" width="23" style="278" customWidth="1"/>
    <col min="3" max="3" width="9.5546875" style="278" bestFit="1" customWidth="1"/>
    <col min="4" max="4" width="10.6640625" style="278" bestFit="1" customWidth="1"/>
    <col min="5" max="5" width="29.6640625" style="278" bestFit="1" customWidth="1"/>
    <col min="6" max="6" width="14.109375" style="278" customWidth="1"/>
    <col min="7" max="7" width="13.88671875" style="84" hidden="1" customWidth="1"/>
    <col min="8" max="8" width="11.6640625" style="84" hidden="1" customWidth="1"/>
    <col min="9" max="9" width="9.5546875" style="84" hidden="1" customWidth="1"/>
    <col min="10" max="10" width="7.88671875" style="84" hidden="1" customWidth="1"/>
    <col min="11" max="11" width="9" style="7" hidden="1" customWidth="1"/>
    <col min="12" max="12" width="4.44140625" style="38" hidden="1" customWidth="1"/>
    <col min="13" max="13" width="9.88671875" style="7" hidden="1" customWidth="1"/>
    <col min="14" max="14" width="4.44140625" style="7" hidden="1" customWidth="1"/>
    <col min="15" max="15" width="9" style="7" hidden="1" customWidth="1"/>
    <col min="16" max="16" width="4.44140625" style="7" hidden="1" customWidth="1"/>
    <col min="17" max="17" width="9" style="7" hidden="1" customWidth="1"/>
    <col min="18" max="18" width="4.44140625" style="7" hidden="1" customWidth="1"/>
    <col min="19" max="19" width="7.6640625" style="7" hidden="1" customWidth="1"/>
    <col min="20" max="20" width="9.88671875" style="7" hidden="1" customWidth="1"/>
    <col min="21" max="21" width="9.44140625" style="121" customWidth="1"/>
    <col min="22" max="22" width="9.44140625" style="62" customWidth="1"/>
    <col min="23" max="23" width="9.6640625" style="7" bestFit="1" customWidth="1"/>
    <col min="24" max="24" width="8.6640625" style="7" bestFit="1" customWidth="1"/>
    <col min="25" max="25" width="8" style="7" bestFit="1" customWidth="1"/>
    <col min="26" max="26" width="8.6640625" style="7" bestFit="1" customWidth="1"/>
    <col min="27" max="27" width="9.6640625" style="7" bestFit="1" customWidth="1"/>
    <col min="28" max="29" width="8.88671875" style="7" bestFit="1" customWidth="1"/>
    <col min="30" max="31" width="9.109375" style="7" bestFit="1" customWidth="1"/>
    <col min="32" max="32" width="6.6640625" style="7" bestFit="1" customWidth="1"/>
    <col min="33" max="33" width="9.109375" style="7" bestFit="1" customWidth="1"/>
    <col min="34" max="34" width="10" style="7" bestFit="1" customWidth="1"/>
    <col min="35" max="36" width="9.109375" style="7" bestFit="1" customWidth="1"/>
    <col min="37" max="41" width="8" style="7" bestFit="1" customWidth="1"/>
    <col min="42" max="42" width="8" style="7" customWidth="1"/>
    <col min="43" max="43" width="8" style="7" bestFit="1" customWidth="1"/>
    <col min="44" max="46" width="9.33203125" style="7" bestFit="1" customWidth="1"/>
    <col min="47" max="47" width="10.109375" style="7" bestFit="1" customWidth="1"/>
    <col min="48" max="50" width="10.109375" style="7" customWidth="1"/>
    <col min="51" max="51" width="9.33203125" style="62" bestFit="1" customWidth="1"/>
    <col min="52" max="52" width="10" style="121" bestFit="1" customWidth="1"/>
    <col min="53" max="53" width="11.109375" style="97" bestFit="1" customWidth="1"/>
    <col min="54" max="16384" width="9.109375" style="97"/>
  </cols>
  <sheetData>
    <row r="1" spans="1:52" s="37" customFormat="1" ht="15" customHeight="1" x14ac:dyDescent="0.3">
      <c r="A1" s="566" t="s">
        <v>108</v>
      </c>
      <c r="B1" s="566"/>
      <c r="C1" s="566"/>
      <c r="D1" s="566"/>
      <c r="E1" s="566"/>
      <c r="F1" s="566"/>
      <c r="G1" s="566"/>
      <c r="H1" s="74"/>
      <c r="I1" s="75"/>
      <c r="J1" s="75"/>
      <c r="K1" s="8"/>
      <c r="L1" s="39"/>
      <c r="M1" s="7"/>
      <c r="N1" s="7"/>
      <c r="O1" s="7"/>
      <c r="P1" s="7"/>
      <c r="Q1" s="7"/>
      <c r="R1" s="7"/>
      <c r="S1" s="7"/>
      <c r="T1" s="7"/>
      <c r="U1" s="121"/>
      <c r="V1" s="62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41"/>
      <c r="AR1" s="41"/>
      <c r="AS1" s="7"/>
      <c r="AT1" s="7"/>
      <c r="AU1" s="7"/>
      <c r="AV1" s="7"/>
      <c r="AW1" s="7"/>
      <c r="AX1" s="7"/>
      <c r="AY1" s="62"/>
      <c r="AZ1" s="121"/>
    </row>
    <row r="2" spans="1:52" s="37" customFormat="1" ht="15" customHeight="1" x14ac:dyDescent="0.3">
      <c r="A2" s="566" t="s">
        <v>372</v>
      </c>
      <c r="B2" s="566"/>
      <c r="C2" s="566"/>
      <c r="D2" s="566"/>
      <c r="E2" s="566"/>
      <c r="F2" s="566"/>
      <c r="G2" s="566"/>
      <c r="H2" s="74"/>
      <c r="I2" s="75"/>
      <c r="J2" s="75"/>
      <c r="K2" s="8"/>
      <c r="L2" s="39"/>
      <c r="M2" s="7"/>
      <c r="N2" s="7"/>
      <c r="O2" s="7"/>
      <c r="P2" s="7"/>
      <c r="Q2" s="7"/>
      <c r="R2" s="7"/>
      <c r="S2" s="7"/>
      <c r="T2" s="7"/>
      <c r="U2" s="121"/>
      <c r="V2" s="71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41"/>
      <c r="AR2" s="41"/>
      <c r="AS2" s="7"/>
      <c r="AT2" s="7"/>
      <c r="AU2" s="7"/>
      <c r="AV2" s="7"/>
      <c r="AW2" s="7"/>
      <c r="AX2" s="7"/>
      <c r="AY2" s="62"/>
      <c r="AZ2" s="121"/>
    </row>
    <row r="3" spans="1:52" s="37" customFormat="1" ht="15" customHeight="1" x14ac:dyDescent="0.3">
      <c r="A3" s="585" t="s">
        <v>399</v>
      </c>
      <c r="B3" s="586"/>
      <c r="C3" s="586"/>
      <c r="D3" s="586"/>
      <c r="E3" s="586"/>
      <c r="F3" s="586"/>
      <c r="G3" s="234"/>
      <c r="H3" s="74"/>
      <c r="I3" s="75"/>
      <c r="J3" s="75"/>
      <c r="K3" s="8"/>
      <c r="L3" s="39"/>
      <c r="M3" s="7"/>
      <c r="N3" s="7"/>
      <c r="O3" s="7"/>
      <c r="P3" s="7"/>
      <c r="Q3" s="7"/>
      <c r="R3" s="7"/>
      <c r="S3" s="7"/>
      <c r="T3" s="7"/>
      <c r="U3" s="121"/>
      <c r="V3" s="71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41"/>
      <c r="AR3" s="41"/>
      <c r="AS3" s="7"/>
      <c r="AT3" s="7"/>
      <c r="AU3" s="7"/>
      <c r="AV3" s="7"/>
      <c r="AW3" s="7"/>
      <c r="AX3" s="7"/>
      <c r="AY3" s="62"/>
      <c r="AZ3" s="121"/>
    </row>
    <row r="4" spans="1:52" ht="15" thickBot="1" x14ac:dyDescent="0.35">
      <c r="A4" s="69" t="s">
        <v>261</v>
      </c>
      <c r="B4" s="36" t="s">
        <v>205</v>
      </c>
      <c r="C4" s="35" t="s">
        <v>130</v>
      </c>
      <c r="D4" s="66" t="s">
        <v>12</v>
      </c>
      <c r="E4" s="35" t="s">
        <v>204</v>
      </c>
      <c r="F4" s="235">
        <v>79801.72</v>
      </c>
      <c r="G4" s="569"/>
      <c r="H4" s="569"/>
      <c r="I4" s="569"/>
      <c r="J4" s="569"/>
      <c r="U4" s="64">
        <v>7850</v>
      </c>
      <c r="V4" s="65">
        <v>7910</v>
      </c>
      <c r="W4" s="65">
        <v>7950</v>
      </c>
      <c r="X4" s="65">
        <v>6730</v>
      </c>
      <c r="Y4" s="65">
        <v>7100</v>
      </c>
      <c r="Z4" s="65">
        <v>5710</v>
      </c>
      <c r="AA4" s="65">
        <v>5130</v>
      </c>
      <c r="AB4" s="65">
        <v>5510</v>
      </c>
      <c r="AC4" s="65">
        <v>7650</v>
      </c>
      <c r="AD4" s="65">
        <v>5750</v>
      </c>
      <c r="AE4" s="65">
        <v>5520</v>
      </c>
      <c r="AF4" s="65">
        <v>7090</v>
      </c>
      <c r="AG4" s="65">
        <v>8570</v>
      </c>
      <c r="AH4" s="65">
        <v>8510</v>
      </c>
      <c r="AI4" s="65">
        <v>8520</v>
      </c>
      <c r="AJ4" s="65">
        <v>8530</v>
      </c>
      <c r="AK4" s="65">
        <v>8590</v>
      </c>
      <c r="AL4" s="65">
        <v>5170</v>
      </c>
      <c r="AM4" s="65">
        <v>6770</v>
      </c>
      <c r="AN4" s="65">
        <v>5540</v>
      </c>
      <c r="AO4" s="65">
        <v>6590</v>
      </c>
      <c r="AP4" s="65">
        <v>6510</v>
      </c>
      <c r="AQ4" s="65">
        <v>5780</v>
      </c>
      <c r="AR4" s="65">
        <v>8540</v>
      </c>
      <c r="AS4" s="65">
        <v>6720</v>
      </c>
      <c r="AT4" s="65">
        <v>5880</v>
      </c>
      <c r="AU4" s="125">
        <v>6550</v>
      </c>
      <c r="AV4" s="125">
        <v>7010</v>
      </c>
      <c r="AW4" s="125">
        <v>5840</v>
      </c>
      <c r="AX4" s="125">
        <v>9999</v>
      </c>
      <c r="AY4" s="125">
        <v>7280</v>
      </c>
      <c r="AZ4" s="64" t="s">
        <v>269</v>
      </c>
    </row>
    <row r="5" spans="1:52" ht="12.75" customHeight="1" x14ac:dyDescent="0.3">
      <c r="A5" s="8">
        <v>1</v>
      </c>
      <c r="B5" s="236" t="s">
        <v>153</v>
      </c>
      <c r="C5" s="237">
        <v>100</v>
      </c>
      <c r="D5" s="238">
        <f t="shared" ref="D5:D32" si="0">SUM(C5*-1)</f>
        <v>-100</v>
      </c>
      <c r="E5" s="239">
        <v>43855</v>
      </c>
      <c r="F5" s="240">
        <f t="shared" ref="F5:F73" si="1">SUM(F4+D5)</f>
        <v>79701.72</v>
      </c>
      <c r="G5" s="76"/>
      <c r="H5" s="77">
        <v>7850</v>
      </c>
      <c r="I5" s="78">
        <f>C5</f>
        <v>100</v>
      </c>
      <c r="J5" s="77"/>
      <c r="K5" s="38"/>
      <c r="L5" s="7"/>
      <c r="U5" s="61">
        <f>SUM(I5)</f>
        <v>100</v>
      </c>
      <c r="V5" s="63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Z5" s="61">
        <f t="shared" ref="AZ5:AZ15" si="2">SUM(U5:AY5)-C5</f>
        <v>0</v>
      </c>
    </row>
    <row r="6" spans="1:52" ht="12.75" customHeight="1" x14ac:dyDescent="0.3">
      <c r="A6" s="8">
        <v>1</v>
      </c>
      <c r="B6" s="241" t="s">
        <v>150</v>
      </c>
      <c r="C6" s="242">
        <v>458.65</v>
      </c>
      <c r="D6" s="238">
        <f t="shared" si="0"/>
        <v>-458.65</v>
      </c>
      <c r="E6" s="243" t="s">
        <v>203</v>
      </c>
      <c r="F6" s="240">
        <f t="shared" si="1"/>
        <v>79243.070000000007</v>
      </c>
      <c r="G6" s="79"/>
      <c r="H6" s="77">
        <v>7910</v>
      </c>
      <c r="I6" s="78">
        <f>C6</f>
        <v>458.65</v>
      </c>
      <c r="J6" s="77"/>
      <c r="K6" s="38"/>
      <c r="L6" s="7"/>
      <c r="U6" s="61"/>
      <c r="V6" s="63">
        <f>SUM(I6)</f>
        <v>458.65</v>
      </c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Z6" s="61">
        <f t="shared" si="2"/>
        <v>0</v>
      </c>
    </row>
    <row r="7" spans="1:52" ht="12.75" customHeight="1" x14ac:dyDescent="0.3">
      <c r="A7" s="8">
        <v>1</v>
      </c>
      <c r="B7" s="241" t="s">
        <v>191</v>
      </c>
      <c r="C7" s="242">
        <v>81.95</v>
      </c>
      <c r="D7" s="238">
        <f t="shared" si="0"/>
        <v>-81.95</v>
      </c>
      <c r="E7" s="243" t="s">
        <v>202</v>
      </c>
      <c r="F7" s="240">
        <f t="shared" si="1"/>
        <v>79161.12000000001</v>
      </c>
      <c r="G7" s="79"/>
      <c r="H7" s="77">
        <v>7950</v>
      </c>
      <c r="I7" s="78">
        <f>C7</f>
        <v>81.95</v>
      </c>
      <c r="J7" s="77"/>
      <c r="K7" s="38"/>
      <c r="L7" s="7"/>
      <c r="U7" s="61"/>
      <c r="V7" s="63"/>
      <c r="W7" s="31">
        <f>SUM(I7)</f>
        <v>81.95</v>
      </c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Z7" s="61">
        <f t="shared" si="2"/>
        <v>0</v>
      </c>
    </row>
    <row r="8" spans="1:52" ht="12.75" customHeight="1" x14ac:dyDescent="0.3">
      <c r="A8" s="8">
        <v>1</v>
      </c>
      <c r="B8" s="241" t="s">
        <v>148</v>
      </c>
      <c r="C8" s="242">
        <v>386.23</v>
      </c>
      <c r="D8" s="238">
        <f t="shared" si="0"/>
        <v>-386.23</v>
      </c>
      <c r="E8" s="243" t="s">
        <v>202</v>
      </c>
      <c r="F8" s="240">
        <f t="shared" si="1"/>
        <v>78774.890000000014</v>
      </c>
      <c r="G8" s="79"/>
      <c r="H8" s="77">
        <v>7950</v>
      </c>
      <c r="I8" s="78">
        <f>C8</f>
        <v>386.23</v>
      </c>
      <c r="J8" s="77"/>
      <c r="K8" s="38"/>
      <c r="L8" s="7"/>
      <c r="U8" s="61"/>
      <c r="V8" s="63"/>
      <c r="W8" s="31">
        <f>SUM(I8)</f>
        <v>386.23</v>
      </c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Z8" s="61">
        <f t="shared" si="2"/>
        <v>0</v>
      </c>
    </row>
    <row r="9" spans="1:52" ht="12.75" customHeight="1" x14ac:dyDescent="0.3">
      <c r="A9" s="8">
        <v>1</v>
      </c>
      <c r="B9" s="241" t="s">
        <v>146</v>
      </c>
      <c r="C9" s="242">
        <v>149.99</v>
      </c>
      <c r="D9" s="238">
        <f t="shared" si="0"/>
        <v>-149.99</v>
      </c>
      <c r="E9" s="243" t="s">
        <v>202</v>
      </c>
      <c r="F9" s="240">
        <f t="shared" si="1"/>
        <v>78624.900000000009</v>
      </c>
      <c r="G9" s="79"/>
      <c r="H9" s="77">
        <v>7950</v>
      </c>
      <c r="I9" s="78">
        <f>C9</f>
        <v>149.99</v>
      </c>
      <c r="J9" s="77"/>
      <c r="K9" s="38"/>
      <c r="L9" s="7"/>
      <c r="S9" s="60"/>
      <c r="U9" s="61"/>
      <c r="V9" s="63"/>
      <c r="W9" s="31">
        <f>SUM(I9)</f>
        <v>149.99</v>
      </c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Z9" s="61">
        <f t="shared" si="2"/>
        <v>0</v>
      </c>
    </row>
    <row r="10" spans="1:52" ht="12.75" customHeight="1" x14ac:dyDescent="0.3">
      <c r="A10" s="8">
        <v>1</v>
      </c>
      <c r="B10" s="241" t="s">
        <v>279</v>
      </c>
      <c r="C10" s="242">
        <f>SUM('TS 2019_2020 Est Travel'!G7)</f>
        <v>330.78</v>
      </c>
      <c r="D10" s="238">
        <f t="shared" si="0"/>
        <v>-330.78</v>
      </c>
      <c r="E10" s="243" t="s">
        <v>280</v>
      </c>
      <c r="F10" s="240">
        <f t="shared" si="1"/>
        <v>78294.12000000001</v>
      </c>
      <c r="G10" s="79"/>
      <c r="H10" s="77"/>
      <c r="I10" s="78"/>
      <c r="J10" s="77"/>
      <c r="K10" s="38"/>
      <c r="L10" s="7"/>
      <c r="S10" s="60"/>
      <c r="U10" s="61"/>
      <c r="V10" s="63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>
        <f>SUM(C10)</f>
        <v>330.78</v>
      </c>
      <c r="AP10" s="31"/>
      <c r="AQ10" s="31"/>
      <c r="AR10" s="31"/>
      <c r="AS10" s="31"/>
      <c r="AZ10" s="61">
        <f t="shared" si="2"/>
        <v>0</v>
      </c>
    </row>
    <row r="11" spans="1:52" ht="12.75" customHeight="1" x14ac:dyDescent="0.3">
      <c r="A11" s="8">
        <v>1</v>
      </c>
      <c r="B11" s="241" t="s">
        <v>144</v>
      </c>
      <c r="C11" s="242">
        <v>300</v>
      </c>
      <c r="D11" s="238">
        <f t="shared" si="0"/>
        <v>-300</v>
      </c>
      <c r="E11" s="243" t="s">
        <v>200</v>
      </c>
      <c r="F11" s="240">
        <f t="shared" si="1"/>
        <v>77994.12000000001</v>
      </c>
      <c r="G11" s="79"/>
      <c r="H11" s="77">
        <v>6730</v>
      </c>
      <c r="I11" s="78">
        <f>C11</f>
        <v>300</v>
      </c>
      <c r="J11" s="77"/>
      <c r="K11" s="38"/>
      <c r="L11" s="7"/>
      <c r="U11" s="61"/>
      <c r="V11" s="63"/>
      <c r="W11" s="31">
        <f>SUM(I11)</f>
        <v>300</v>
      </c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Z11" s="61">
        <f t="shared" si="2"/>
        <v>0</v>
      </c>
    </row>
    <row r="12" spans="1:52" ht="12.75" customHeight="1" x14ac:dyDescent="0.3">
      <c r="A12" s="8">
        <v>1</v>
      </c>
      <c r="B12" s="244" t="s">
        <v>143</v>
      </c>
      <c r="C12" s="242">
        <v>75</v>
      </c>
      <c r="D12" s="238">
        <f t="shared" si="0"/>
        <v>-75</v>
      </c>
      <c r="E12" s="243" t="s">
        <v>200</v>
      </c>
      <c r="F12" s="240">
        <f t="shared" si="1"/>
        <v>77919.12000000001</v>
      </c>
      <c r="G12" s="79"/>
      <c r="H12" s="77">
        <v>7010</v>
      </c>
      <c r="I12" s="78">
        <f>C12</f>
        <v>75</v>
      </c>
      <c r="J12" s="77"/>
      <c r="K12" s="38"/>
      <c r="L12" s="7"/>
      <c r="U12" s="61"/>
      <c r="V12" s="63"/>
      <c r="W12" s="31">
        <f>SUM(I12)</f>
        <v>75</v>
      </c>
      <c r="X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Z12" s="61">
        <f t="shared" si="2"/>
        <v>0</v>
      </c>
    </row>
    <row r="13" spans="1:52" ht="12.75" customHeight="1" x14ac:dyDescent="0.3">
      <c r="A13" s="8">
        <v>1</v>
      </c>
      <c r="B13" s="241" t="s">
        <v>142</v>
      </c>
      <c r="C13" s="242">
        <v>2500</v>
      </c>
      <c r="D13" s="238">
        <f t="shared" si="0"/>
        <v>-2500</v>
      </c>
      <c r="E13" s="243" t="s">
        <v>201</v>
      </c>
      <c r="F13" s="240">
        <f t="shared" si="1"/>
        <v>75419.12000000001</v>
      </c>
      <c r="G13" s="79"/>
      <c r="H13" s="77">
        <v>7950</v>
      </c>
      <c r="I13" s="78">
        <f>C13</f>
        <v>2500</v>
      </c>
      <c r="J13" s="77"/>
      <c r="K13" s="38"/>
      <c r="L13" s="7"/>
      <c r="U13" s="61"/>
      <c r="V13" s="63"/>
      <c r="X13" s="31"/>
      <c r="Y13" s="31"/>
      <c r="Z13" s="31">
        <f>SUM(I13)</f>
        <v>2500</v>
      </c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Z13" s="61">
        <f t="shared" si="2"/>
        <v>0</v>
      </c>
    </row>
    <row r="14" spans="1:52" ht="12.75" customHeight="1" x14ac:dyDescent="0.3">
      <c r="A14" s="8">
        <v>1</v>
      </c>
      <c r="B14" s="241" t="s">
        <v>139</v>
      </c>
      <c r="C14" s="242">
        <v>750</v>
      </c>
      <c r="D14" s="238">
        <f t="shared" si="0"/>
        <v>-750</v>
      </c>
      <c r="E14" s="243" t="s">
        <v>200</v>
      </c>
      <c r="F14" s="240">
        <f t="shared" si="1"/>
        <v>74669.12000000001</v>
      </c>
      <c r="G14" s="79"/>
      <c r="H14" s="77">
        <v>7950</v>
      </c>
      <c r="I14" s="78">
        <f>C14</f>
        <v>750</v>
      </c>
      <c r="J14" s="77"/>
      <c r="K14" s="38"/>
      <c r="L14" s="7"/>
      <c r="U14" s="61"/>
      <c r="V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2"/>
      <c r="AU14" s="62"/>
      <c r="AV14" s="63">
        <f>SUM(I14)</f>
        <v>750</v>
      </c>
      <c r="AW14" s="63"/>
      <c r="AX14" s="63"/>
      <c r="AZ14" s="61">
        <f t="shared" si="2"/>
        <v>0</v>
      </c>
    </row>
    <row r="15" spans="1:52" ht="12.75" customHeight="1" x14ac:dyDescent="0.3">
      <c r="A15" s="8">
        <v>1</v>
      </c>
      <c r="B15" s="241" t="s">
        <v>279</v>
      </c>
      <c r="C15" s="242">
        <f>SUM('TS 2019_2020 Est Travel'!F36:F37)</f>
        <v>1967.22</v>
      </c>
      <c r="D15" s="238">
        <f t="shared" si="0"/>
        <v>-1967.22</v>
      </c>
      <c r="E15" s="243" t="s">
        <v>290</v>
      </c>
      <c r="F15" s="240">
        <f t="shared" si="1"/>
        <v>72701.900000000009</v>
      </c>
      <c r="G15" s="79"/>
      <c r="H15" s="77"/>
      <c r="I15" s="78"/>
      <c r="J15" s="77"/>
      <c r="K15" s="38"/>
      <c r="L15" s="7"/>
      <c r="U15" s="61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2"/>
      <c r="AU15" s="63">
        <f>SUM(C15)</f>
        <v>1967.22</v>
      </c>
      <c r="AV15" s="63"/>
      <c r="AW15" s="63"/>
      <c r="AX15" s="63"/>
      <c r="AZ15" s="61">
        <f t="shared" si="2"/>
        <v>0</v>
      </c>
    </row>
    <row r="16" spans="1:52" ht="12.75" customHeight="1" thickBot="1" x14ac:dyDescent="0.35">
      <c r="A16" s="8">
        <v>1</v>
      </c>
      <c r="B16" s="241" t="s">
        <v>279</v>
      </c>
      <c r="C16" s="242">
        <f>SUM('TS 2019_2020 Est Travel'!G10+'TS 2019_2020 Est Travel'!G13)</f>
        <v>1146</v>
      </c>
      <c r="D16" s="238">
        <f t="shared" si="0"/>
        <v>-1146</v>
      </c>
      <c r="E16" s="243" t="s">
        <v>281</v>
      </c>
      <c r="F16" s="240">
        <f t="shared" si="1"/>
        <v>71555.900000000009</v>
      </c>
      <c r="G16" s="77"/>
      <c r="H16" s="77"/>
      <c r="I16" s="79"/>
      <c r="J16" s="77"/>
      <c r="K16" s="38"/>
      <c r="L16" s="7"/>
      <c r="U16" s="100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>
        <f>SUM(C16)</f>
        <v>1146</v>
      </c>
      <c r="AT16" s="73"/>
      <c r="AU16" s="73"/>
      <c r="AV16" s="73"/>
      <c r="AW16" s="73"/>
      <c r="AX16" s="73"/>
      <c r="AY16" s="73"/>
      <c r="AZ16" s="100"/>
    </row>
    <row r="17" spans="1:52" ht="12.75" customHeight="1" x14ac:dyDescent="0.3">
      <c r="B17" s="241"/>
      <c r="C17" s="242"/>
      <c r="D17" s="238"/>
      <c r="E17" s="245" t="s">
        <v>282</v>
      </c>
      <c r="F17" s="240">
        <f t="shared" si="1"/>
        <v>71555.900000000009</v>
      </c>
      <c r="G17" s="77"/>
      <c r="H17" s="77"/>
      <c r="I17" s="79"/>
      <c r="J17" s="77"/>
      <c r="K17" s="38"/>
      <c r="L17" s="7"/>
      <c r="U17" s="107">
        <f t="shared" ref="U17:AY17" si="3">SUM(U5:U16)</f>
        <v>100</v>
      </c>
      <c r="V17" s="108">
        <f t="shared" si="3"/>
        <v>458.65</v>
      </c>
      <c r="W17" s="108">
        <f t="shared" si="3"/>
        <v>993.17000000000007</v>
      </c>
      <c r="X17" s="108">
        <f t="shared" si="3"/>
        <v>0</v>
      </c>
      <c r="Y17" s="108">
        <f t="shared" si="3"/>
        <v>0</v>
      </c>
      <c r="Z17" s="108">
        <f t="shared" si="3"/>
        <v>2500</v>
      </c>
      <c r="AA17" s="108">
        <f t="shared" si="3"/>
        <v>0</v>
      </c>
      <c r="AB17" s="108">
        <f t="shared" si="3"/>
        <v>0</v>
      </c>
      <c r="AC17" s="108">
        <f t="shared" si="3"/>
        <v>0</v>
      </c>
      <c r="AD17" s="108">
        <f t="shared" si="3"/>
        <v>0</v>
      </c>
      <c r="AE17" s="108">
        <f t="shared" si="3"/>
        <v>0</v>
      </c>
      <c r="AF17" s="108">
        <f t="shared" si="3"/>
        <v>0</v>
      </c>
      <c r="AG17" s="108">
        <f t="shared" si="3"/>
        <v>0</v>
      </c>
      <c r="AH17" s="108">
        <f t="shared" si="3"/>
        <v>0</v>
      </c>
      <c r="AI17" s="108">
        <f t="shared" si="3"/>
        <v>0</v>
      </c>
      <c r="AJ17" s="108">
        <f t="shared" si="3"/>
        <v>0</v>
      </c>
      <c r="AK17" s="108">
        <f t="shared" si="3"/>
        <v>0</v>
      </c>
      <c r="AL17" s="108">
        <f t="shared" si="3"/>
        <v>0</v>
      </c>
      <c r="AM17" s="108">
        <f t="shared" si="3"/>
        <v>0</v>
      </c>
      <c r="AN17" s="108">
        <f t="shared" si="3"/>
        <v>0</v>
      </c>
      <c r="AO17" s="108">
        <f t="shared" si="3"/>
        <v>330.78</v>
      </c>
      <c r="AP17" s="108">
        <f t="shared" si="3"/>
        <v>0</v>
      </c>
      <c r="AQ17" s="108">
        <f t="shared" si="3"/>
        <v>0</v>
      </c>
      <c r="AR17" s="108">
        <f t="shared" si="3"/>
        <v>0</v>
      </c>
      <c r="AS17" s="108">
        <f t="shared" si="3"/>
        <v>1146</v>
      </c>
      <c r="AT17" s="108">
        <f t="shared" si="3"/>
        <v>0</v>
      </c>
      <c r="AU17" s="108">
        <f t="shared" si="3"/>
        <v>1967.22</v>
      </c>
      <c r="AV17" s="108">
        <f t="shared" si="3"/>
        <v>750</v>
      </c>
      <c r="AW17" s="108">
        <f t="shared" si="3"/>
        <v>0</v>
      </c>
      <c r="AX17" s="108">
        <f t="shared" si="3"/>
        <v>0</v>
      </c>
      <c r="AY17" s="108">
        <f t="shared" si="3"/>
        <v>0</v>
      </c>
      <c r="AZ17" s="106"/>
    </row>
    <row r="18" spans="1:52" ht="12.75" customHeight="1" x14ac:dyDescent="0.3">
      <c r="A18" s="403">
        <v>2</v>
      </c>
      <c r="B18" s="398" t="s">
        <v>388</v>
      </c>
      <c r="C18" s="399">
        <f>SUM('BB Example 2 _ Cash Flows'!C18)</f>
        <v>5000</v>
      </c>
      <c r="D18" s="400">
        <f t="shared" ref="D18" si="4">SUM(C18*-1)</f>
        <v>-5000</v>
      </c>
      <c r="E18" s="401" t="s">
        <v>390</v>
      </c>
      <c r="F18" s="402">
        <f t="shared" si="1"/>
        <v>66555.900000000009</v>
      </c>
      <c r="G18" s="77"/>
      <c r="H18" s="77"/>
      <c r="I18" s="79"/>
      <c r="J18" s="77"/>
      <c r="K18" s="38"/>
      <c r="L18" s="7"/>
      <c r="U18" s="61"/>
      <c r="V18" s="63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X18" s="31">
        <f>SUM(C18)</f>
        <v>5000</v>
      </c>
      <c r="AZ18" s="61"/>
    </row>
    <row r="19" spans="1:52" ht="12.75" customHeight="1" x14ac:dyDescent="0.3">
      <c r="A19" s="8">
        <v>2</v>
      </c>
      <c r="B19" s="241" t="s">
        <v>199</v>
      </c>
      <c r="C19" s="242">
        <v>6000</v>
      </c>
      <c r="D19" s="238">
        <f t="shared" si="0"/>
        <v>-6000</v>
      </c>
      <c r="E19" s="243" t="s">
        <v>195</v>
      </c>
      <c r="F19" s="240">
        <f t="shared" si="1"/>
        <v>60555.900000000009</v>
      </c>
      <c r="G19" s="77"/>
      <c r="H19" s="77">
        <v>5130</v>
      </c>
      <c r="I19" s="79">
        <f>SUM(C19)</f>
        <v>6000</v>
      </c>
      <c r="J19" s="77"/>
      <c r="K19" s="38"/>
      <c r="L19" s="7"/>
      <c r="U19" s="61"/>
      <c r="V19" s="63"/>
      <c r="W19" s="31"/>
      <c r="X19" s="31"/>
      <c r="Y19" s="31"/>
      <c r="Z19" s="31"/>
      <c r="AA19" s="31">
        <f>SUM(I19)</f>
        <v>6000</v>
      </c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Z19" s="61">
        <f t="shared" ref="AZ19:AZ51" si="5">SUM(U19:AY19)-C19</f>
        <v>0</v>
      </c>
    </row>
    <row r="20" spans="1:52" s="405" customFormat="1" ht="12.75" customHeight="1" x14ac:dyDescent="0.3">
      <c r="A20" s="215">
        <v>2</v>
      </c>
      <c r="B20" s="479" t="s">
        <v>398</v>
      </c>
      <c r="C20" s="251">
        <v>2000</v>
      </c>
      <c r="D20" s="252">
        <f t="shared" ref="D20" si="6">SUM(C20*-1)</f>
        <v>-2000</v>
      </c>
      <c r="E20" s="480" t="s">
        <v>397</v>
      </c>
      <c r="F20" s="254">
        <f t="shared" si="1"/>
        <v>58555.900000000009</v>
      </c>
      <c r="G20" s="77"/>
      <c r="H20" s="77"/>
      <c r="I20" s="79"/>
      <c r="J20" s="77"/>
      <c r="K20" s="38"/>
      <c r="L20" s="7"/>
      <c r="M20" s="7"/>
      <c r="N20" s="7"/>
      <c r="O20" s="7"/>
      <c r="P20" s="7"/>
      <c r="Q20" s="7"/>
      <c r="R20" s="7"/>
      <c r="S20" s="7"/>
      <c r="T20" s="7"/>
      <c r="U20" s="61"/>
      <c r="V20" s="63"/>
      <c r="W20" s="31"/>
      <c r="X20" s="31"/>
      <c r="Y20" s="31"/>
      <c r="Z20" s="31"/>
      <c r="AA20" s="31">
        <f>SUM(C20)</f>
        <v>2000</v>
      </c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7"/>
      <c r="AU20" s="7"/>
      <c r="AV20" s="7"/>
      <c r="AW20" s="7"/>
      <c r="AX20" s="7"/>
      <c r="AY20" s="62"/>
      <c r="AZ20" s="61"/>
    </row>
    <row r="21" spans="1:52" s="405" customFormat="1" ht="12.75" customHeight="1" x14ac:dyDescent="0.3">
      <c r="A21" s="215">
        <v>2</v>
      </c>
      <c r="B21" s="479" t="s">
        <v>401</v>
      </c>
      <c r="C21" s="251">
        <v>800</v>
      </c>
      <c r="D21" s="252">
        <f t="shared" ref="D21" si="7">SUM(C21*-1)</f>
        <v>-800</v>
      </c>
      <c r="E21" s="480" t="s">
        <v>402</v>
      </c>
      <c r="F21" s="254">
        <f t="shared" si="1"/>
        <v>57755.900000000009</v>
      </c>
      <c r="G21" s="77"/>
      <c r="H21" s="77"/>
      <c r="I21" s="79"/>
      <c r="J21" s="77"/>
      <c r="K21" s="38"/>
      <c r="L21" s="7"/>
      <c r="M21" s="7"/>
      <c r="N21" s="7"/>
      <c r="O21" s="7"/>
      <c r="P21" s="7"/>
      <c r="Q21" s="7"/>
      <c r="R21" s="7"/>
      <c r="S21" s="7"/>
      <c r="T21" s="7"/>
      <c r="U21" s="61"/>
      <c r="V21" s="63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7"/>
      <c r="AU21" s="7"/>
      <c r="AV21" s="31">
        <f>SUM(C21)</f>
        <v>800</v>
      </c>
      <c r="AW21" s="7"/>
      <c r="AX21" s="7"/>
      <c r="AY21" s="62"/>
      <c r="AZ21" s="61"/>
    </row>
    <row r="22" spans="1:52" ht="12.75" customHeight="1" x14ac:dyDescent="0.3">
      <c r="A22" s="8">
        <v>2</v>
      </c>
      <c r="B22" s="241" t="s">
        <v>177</v>
      </c>
      <c r="C22" s="242">
        <v>2000</v>
      </c>
      <c r="D22" s="238">
        <f t="shared" si="0"/>
        <v>-2000</v>
      </c>
      <c r="E22" s="243">
        <v>43862</v>
      </c>
      <c r="F22" s="478">
        <f t="shared" si="1"/>
        <v>55755.900000000009</v>
      </c>
      <c r="G22" s="77"/>
      <c r="H22" s="77"/>
      <c r="I22" s="77"/>
      <c r="J22" s="77"/>
      <c r="K22" s="38"/>
      <c r="L22" s="7"/>
      <c r="U22" s="61"/>
      <c r="V22" s="63">
        <v>250</v>
      </c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Y22" s="63">
        <v>1750</v>
      </c>
      <c r="AZ22" s="61">
        <f t="shared" si="5"/>
        <v>0</v>
      </c>
    </row>
    <row r="23" spans="1:52" ht="12.75" customHeight="1" x14ac:dyDescent="0.3">
      <c r="A23" s="8">
        <v>2</v>
      </c>
      <c r="B23" s="241" t="s">
        <v>176</v>
      </c>
      <c r="C23" s="242">
        <v>7500</v>
      </c>
      <c r="D23" s="238">
        <f t="shared" si="0"/>
        <v>-7500</v>
      </c>
      <c r="E23" s="243">
        <v>43862</v>
      </c>
      <c r="F23" s="240">
        <f t="shared" si="1"/>
        <v>48255.900000000009</v>
      </c>
      <c r="G23" s="77"/>
      <c r="H23" s="77">
        <v>5510</v>
      </c>
      <c r="I23" s="78">
        <f>C23</f>
        <v>7500</v>
      </c>
      <c r="J23" s="77"/>
      <c r="K23" s="38"/>
      <c r="L23" s="7"/>
      <c r="U23" s="61"/>
      <c r="V23" s="63"/>
      <c r="W23" s="31"/>
      <c r="X23" s="31"/>
      <c r="Y23" s="31"/>
      <c r="Z23" s="31"/>
      <c r="AA23" s="31"/>
      <c r="AB23" s="31">
        <f>SUM(I23)</f>
        <v>7500</v>
      </c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Z23" s="61">
        <f t="shared" si="5"/>
        <v>0</v>
      </c>
    </row>
    <row r="24" spans="1:52" s="7" customFormat="1" ht="12.75" customHeight="1" x14ac:dyDescent="0.2">
      <c r="A24" s="8">
        <v>2</v>
      </c>
      <c r="B24" s="241" t="s">
        <v>175</v>
      </c>
      <c r="C24" s="242">
        <v>550</v>
      </c>
      <c r="D24" s="238">
        <f t="shared" si="0"/>
        <v>-550</v>
      </c>
      <c r="E24" s="243">
        <v>43862</v>
      </c>
      <c r="F24" s="240">
        <f t="shared" si="1"/>
        <v>47705.900000000009</v>
      </c>
      <c r="G24" s="77"/>
      <c r="H24" s="77">
        <v>7650</v>
      </c>
      <c r="I24" s="78">
        <f>C24</f>
        <v>550</v>
      </c>
      <c r="J24" s="77"/>
      <c r="K24" s="38"/>
      <c r="U24" s="61"/>
      <c r="V24" s="63"/>
      <c r="W24" s="31"/>
      <c r="X24" s="31"/>
      <c r="Y24" s="31"/>
      <c r="Z24" s="31"/>
      <c r="AA24" s="31"/>
      <c r="AB24" s="31"/>
      <c r="AC24" s="31">
        <f>SUM(I24)</f>
        <v>550</v>
      </c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Y24" s="62"/>
      <c r="AZ24" s="61">
        <f t="shared" si="5"/>
        <v>0</v>
      </c>
    </row>
    <row r="25" spans="1:52" s="7" customFormat="1" ht="12.75" customHeight="1" x14ac:dyDescent="0.2">
      <c r="A25" s="8">
        <v>2</v>
      </c>
      <c r="B25" s="241" t="s">
        <v>174</v>
      </c>
      <c r="C25" s="242">
        <v>1800</v>
      </c>
      <c r="D25" s="238">
        <f t="shared" si="0"/>
        <v>-1800</v>
      </c>
      <c r="E25" s="243" t="s">
        <v>198</v>
      </c>
      <c r="F25" s="240">
        <f t="shared" si="1"/>
        <v>45905.900000000009</v>
      </c>
      <c r="G25" s="77"/>
      <c r="H25" s="77">
        <v>7650</v>
      </c>
      <c r="I25" s="78">
        <f>C25</f>
        <v>1800</v>
      </c>
      <c r="J25" s="77"/>
      <c r="K25" s="38"/>
      <c r="U25" s="61"/>
      <c r="V25" s="63"/>
      <c r="W25" s="31"/>
      <c r="X25" s="31"/>
      <c r="Y25" s="31"/>
      <c r="Z25" s="31"/>
      <c r="AA25" s="31"/>
      <c r="AB25" s="31"/>
      <c r="AC25" s="31">
        <f>SUM(I25)</f>
        <v>1800</v>
      </c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Y25" s="62"/>
      <c r="AZ25" s="61">
        <f t="shared" si="5"/>
        <v>0</v>
      </c>
    </row>
    <row r="26" spans="1:52" s="7" customFormat="1" ht="12.75" customHeight="1" x14ac:dyDescent="0.2">
      <c r="A26" s="8">
        <v>2</v>
      </c>
      <c r="B26" s="241" t="s">
        <v>172</v>
      </c>
      <c r="C26" s="242">
        <v>9917</v>
      </c>
      <c r="D26" s="238">
        <f t="shared" si="0"/>
        <v>-9917</v>
      </c>
      <c r="E26" s="243">
        <v>43862</v>
      </c>
      <c r="F26" s="240">
        <f t="shared" si="1"/>
        <v>35988.900000000009</v>
      </c>
      <c r="G26" s="77"/>
      <c r="H26" s="77">
        <v>5750</v>
      </c>
      <c r="I26" s="80">
        <v>1584</v>
      </c>
      <c r="J26" s="77">
        <v>5520</v>
      </c>
      <c r="K26" s="38">
        <v>8333</v>
      </c>
      <c r="U26" s="61"/>
      <c r="V26" s="63"/>
      <c r="W26" s="31"/>
      <c r="X26" s="31"/>
      <c r="Y26" s="31"/>
      <c r="Z26" s="31"/>
      <c r="AA26" s="31"/>
      <c r="AB26" s="31"/>
      <c r="AC26" s="31"/>
      <c r="AD26" s="31">
        <f>SUM(I26)</f>
        <v>1584</v>
      </c>
      <c r="AE26" s="31">
        <f>SUM(K26)</f>
        <v>8333</v>
      </c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Y26" s="62"/>
      <c r="AZ26" s="61">
        <f t="shared" si="5"/>
        <v>0</v>
      </c>
    </row>
    <row r="27" spans="1:52" s="7" customFormat="1" ht="12.75" customHeight="1" x14ac:dyDescent="0.2">
      <c r="A27" s="8">
        <v>2</v>
      </c>
      <c r="B27" s="241" t="s">
        <v>171</v>
      </c>
      <c r="C27" s="242">
        <v>34.950000000000003</v>
      </c>
      <c r="D27" s="238">
        <f t="shared" si="0"/>
        <v>-34.950000000000003</v>
      </c>
      <c r="E27" s="243">
        <v>43862</v>
      </c>
      <c r="F27" s="240">
        <f t="shared" si="1"/>
        <v>35953.950000000012</v>
      </c>
      <c r="G27" s="77"/>
      <c r="H27" s="77">
        <v>7850</v>
      </c>
      <c r="I27" s="78">
        <f>C27</f>
        <v>34.950000000000003</v>
      </c>
      <c r="J27" s="77"/>
      <c r="K27" s="38"/>
      <c r="U27" s="61">
        <f>SUM(I27)</f>
        <v>34.950000000000003</v>
      </c>
      <c r="V27" s="63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Y27" s="62"/>
      <c r="AZ27" s="61">
        <f t="shared" si="5"/>
        <v>0</v>
      </c>
    </row>
    <row r="28" spans="1:52" s="7" customFormat="1" ht="12.75" customHeight="1" x14ac:dyDescent="0.2">
      <c r="A28" s="8">
        <v>2</v>
      </c>
      <c r="B28" s="241" t="s">
        <v>169</v>
      </c>
      <c r="C28" s="242">
        <v>150</v>
      </c>
      <c r="D28" s="238">
        <f t="shared" si="0"/>
        <v>-150</v>
      </c>
      <c r="E28" s="243" t="s">
        <v>197</v>
      </c>
      <c r="F28" s="240">
        <f t="shared" si="1"/>
        <v>35803.950000000012</v>
      </c>
      <c r="G28" s="77"/>
      <c r="H28" s="77">
        <v>7090</v>
      </c>
      <c r="I28" s="78">
        <f>C28</f>
        <v>150</v>
      </c>
      <c r="J28" s="77"/>
      <c r="K28" s="38"/>
      <c r="U28" s="61"/>
      <c r="V28" s="63"/>
      <c r="W28" s="31"/>
      <c r="X28" s="31"/>
      <c r="Y28" s="31"/>
      <c r="Z28" s="31"/>
      <c r="AA28" s="31"/>
      <c r="AB28" s="31"/>
      <c r="AC28" s="31"/>
      <c r="AD28" s="31"/>
      <c r="AE28" s="31"/>
      <c r="AF28" s="31">
        <f>SUM(I28)</f>
        <v>150</v>
      </c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Y28" s="62"/>
      <c r="AZ28" s="61">
        <f t="shared" si="5"/>
        <v>0</v>
      </c>
    </row>
    <row r="29" spans="1:52" s="7" customFormat="1" ht="12.75" customHeight="1" x14ac:dyDescent="0.2">
      <c r="A29" s="8">
        <v>2</v>
      </c>
      <c r="B29" s="241" t="s">
        <v>155</v>
      </c>
      <c r="C29" s="242">
        <v>18100</v>
      </c>
      <c r="D29" s="238">
        <f t="shared" si="0"/>
        <v>-18100</v>
      </c>
      <c r="E29" s="243">
        <v>43866</v>
      </c>
      <c r="F29" s="240">
        <f t="shared" si="1"/>
        <v>17703.950000000012</v>
      </c>
      <c r="G29" s="77"/>
      <c r="H29" s="77">
        <v>8570</v>
      </c>
      <c r="I29" s="80">
        <v>1375</v>
      </c>
      <c r="J29" s="77" t="s">
        <v>207</v>
      </c>
      <c r="K29" s="38" t="s">
        <v>207</v>
      </c>
      <c r="L29" s="7">
        <v>8510</v>
      </c>
      <c r="M29" s="38">
        <v>13600</v>
      </c>
      <c r="N29" s="50">
        <v>8250</v>
      </c>
      <c r="O29" s="38">
        <v>1000</v>
      </c>
      <c r="P29" s="50">
        <v>8530</v>
      </c>
      <c r="Q29" s="123">
        <v>2000</v>
      </c>
      <c r="R29" s="50">
        <v>8590</v>
      </c>
      <c r="S29" s="38">
        <v>125</v>
      </c>
      <c r="T29" s="51">
        <f>SUM(I29+M29+O29+Q29+S29)</f>
        <v>18100</v>
      </c>
      <c r="U29" s="61"/>
      <c r="V29" s="63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>
        <f>SUM(I29)</f>
        <v>1375</v>
      </c>
      <c r="AH29" s="31">
        <f>SUM(M29)</f>
        <v>13600</v>
      </c>
      <c r="AI29" s="31">
        <f>SUM(O29)</f>
        <v>1000</v>
      </c>
      <c r="AJ29" s="31">
        <f>SUM(Q29)</f>
        <v>2000</v>
      </c>
      <c r="AK29" s="31">
        <f>SUM(S29)</f>
        <v>125</v>
      </c>
      <c r="AL29" s="31"/>
      <c r="AM29" s="31"/>
      <c r="AN29" s="31"/>
      <c r="AO29" s="31"/>
      <c r="AP29" s="31"/>
      <c r="AQ29" s="31"/>
      <c r="AR29" s="31"/>
      <c r="AS29" s="31"/>
      <c r="AY29" s="62"/>
      <c r="AZ29" s="61">
        <f t="shared" si="5"/>
        <v>0</v>
      </c>
    </row>
    <row r="30" spans="1:52" s="7" customFormat="1" ht="12.75" customHeight="1" x14ac:dyDescent="0.2">
      <c r="A30" s="8">
        <v>2</v>
      </c>
      <c r="B30" s="241" t="s">
        <v>153</v>
      </c>
      <c r="C30" s="242">
        <v>100</v>
      </c>
      <c r="D30" s="238">
        <f t="shared" si="0"/>
        <v>-100</v>
      </c>
      <c r="E30" s="243">
        <v>43869</v>
      </c>
      <c r="F30" s="240">
        <f t="shared" si="1"/>
        <v>17603.950000000012</v>
      </c>
      <c r="G30" s="77"/>
      <c r="H30" s="77">
        <v>7850</v>
      </c>
      <c r="I30" s="78">
        <f>C30</f>
        <v>100</v>
      </c>
      <c r="J30" s="77"/>
      <c r="K30" s="38"/>
      <c r="U30" s="61">
        <f>SUM(I30)</f>
        <v>100</v>
      </c>
      <c r="V30" s="63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Y30" s="62"/>
      <c r="AZ30" s="61">
        <f t="shared" si="5"/>
        <v>0</v>
      </c>
    </row>
    <row r="31" spans="1:52" s="7" customFormat="1" ht="12.75" customHeight="1" x14ac:dyDescent="0.2">
      <c r="A31" s="8">
        <v>2</v>
      </c>
      <c r="B31" s="241" t="s">
        <v>279</v>
      </c>
      <c r="C31" s="242">
        <f>SUM('TS 2019_2020 Est Travel'!G16+'TS 2019_2020 Est Travel'!G20+'TS 2019_2020 Est Travel'!G23)</f>
        <v>2939.25</v>
      </c>
      <c r="D31" s="238">
        <f t="shared" si="0"/>
        <v>-2939.25</v>
      </c>
      <c r="E31" s="243" t="s">
        <v>292</v>
      </c>
      <c r="F31" s="240">
        <f t="shared" si="1"/>
        <v>14664.700000000012</v>
      </c>
      <c r="G31" s="77"/>
      <c r="H31" s="77"/>
      <c r="I31" s="78"/>
      <c r="J31" s="77"/>
      <c r="K31" s="38"/>
      <c r="U31" s="61"/>
      <c r="V31" s="63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U31" s="31">
        <f>SUM(C31)</f>
        <v>2939.25</v>
      </c>
      <c r="AV31" s="31"/>
      <c r="AW31" s="31"/>
      <c r="AX31" s="31"/>
      <c r="AY31" s="62"/>
      <c r="AZ31" s="61">
        <f t="shared" si="5"/>
        <v>0</v>
      </c>
    </row>
    <row r="32" spans="1:52" s="7" customFormat="1" ht="12.75" customHeight="1" x14ac:dyDescent="0.2">
      <c r="A32" s="8">
        <v>2</v>
      </c>
      <c r="B32" s="241" t="s">
        <v>196</v>
      </c>
      <c r="C32" s="242">
        <v>1500</v>
      </c>
      <c r="D32" s="238">
        <f t="shared" si="0"/>
        <v>-1500</v>
      </c>
      <c r="E32" s="243" t="s">
        <v>195</v>
      </c>
      <c r="F32" s="240">
        <f t="shared" si="1"/>
        <v>13164.700000000012</v>
      </c>
      <c r="G32" s="77"/>
      <c r="H32" s="77">
        <v>5170</v>
      </c>
      <c r="I32" s="79">
        <f>SUM(C32)</f>
        <v>1500</v>
      </c>
      <c r="J32" s="77"/>
      <c r="K32" s="38"/>
      <c r="U32" s="61"/>
      <c r="V32" s="63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>
        <f>SUM(I32)</f>
        <v>1500</v>
      </c>
      <c r="AM32" s="31"/>
      <c r="AN32" s="31"/>
      <c r="AO32" s="31"/>
      <c r="AP32" s="31"/>
      <c r="AQ32" s="31"/>
      <c r="AR32" s="31"/>
      <c r="AS32" s="31"/>
      <c r="AY32" s="62"/>
      <c r="AZ32" s="61">
        <f t="shared" si="5"/>
        <v>0</v>
      </c>
    </row>
    <row r="33" spans="1:52" s="7" customFormat="1" ht="12.75" customHeight="1" x14ac:dyDescent="0.2">
      <c r="A33" s="142">
        <v>2</v>
      </c>
      <c r="B33" s="246" t="s">
        <v>375</v>
      </c>
      <c r="C33" s="246"/>
      <c r="D33" s="247">
        <v>80000</v>
      </c>
      <c r="E33" s="248" t="s">
        <v>376</v>
      </c>
      <c r="F33" s="249">
        <f t="shared" si="1"/>
        <v>93164.700000000012</v>
      </c>
      <c r="G33" s="81"/>
      <c r="H33" s="77" t="s">
        <v>207</v>
      </c>
      <c r="I33" s="77" t="s">
        <v>207</v>
      </c>
      <c r="J33" s="77"/>
      <c r="K33" s="38"/>
      <c r="U33" s="61"/>
      <c r="V33" s="63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Y33" s="62"/>
      <c r="AZ33" s="61">
        <f t="shared" si="5"/>
        <v>0</v>
      </c>
    </row>
    <row r="34" spans="1:52" s="7" customFormat="1" ht="12.75" customHeight="1" x14ac:dyDescent="0.2">
      <c r="A34" s="8">
        <v>2</v>
      </c>
      <c r="B34" s="241" t="s">
        <v>162</v>
      </c>
      <c r="C34" s="242">
        <v>60</v>
      </c>
      <c r="D34" s="238">
        <f t="shared" ref="D34:D65" si="8">SUM(C34*-1)</f>
        <v>-60</v>
      </c>
      <c r="E34" s="243">
        <v>43876</v>
      </c>
      <c r="F34" s="240">
        <f t="shared" si="1"/>
        <v>93104.700000000012</v>
      </c>
      <c r="G34" s="77"/>
      <c r="H34" s="77">
        <v>7850</v>
      </c>
      <c r="I34" s="78">
        <f>C34</f>
        <v>60</v>
      </c>
      <c r="J34" s="77"/>
      <c r="K34" s="38"/>
      <c r="U34" s="61">
        <f>SUM(I34)</f>
        <v>60</v>
      </c>
      <c r="V34" s="63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Y34" s="62"/>
      <c r="AZ34" s="61">
        <f t="shared" si="5"/>
        <v>0</v>
      </c>
    </row>
    <row r="35" spans="1:52" s="7" customFormat="1" ht="12.75" customHeight="1" x14ac:dyDescent="0.2">
      <c r="A35" s="8">
        <v>2</v>
      </c>
      <c r="B35" s="241" t="s">
        <v>165</v>
      </c>
      <c r="C35" s="242">
        <v>200</v>
      </c>
      <c r="D35" s="238">
        <f t="shared" si="8"/>
        <v>-200</v>
      </c>
      <c r="E35" s="243">
        <v>43876</v>
      </c>
      <c r="F35" s="240">
        <f t="shared" si="1"/>
        <v>92904.700000000012</v>
      </c>
      <c r="G35" s="77"/>
      <c r="H35" s="77">
        <v>6770</v>
      </c>
      <c r="I35" s="78">
        <f>C35</f>
        <v>200</v>
      </c>
      <c r="J35" s="77"/>
      <c r="K35" s="38"/>
      <c r="U35" s="61"/>
      <c r="V35" s="63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>
        <f>SUM(I35)</f>
        <v>200</v>
      </c>
      <c r="AN35" s="31"/>
      <c r="AO35" s="31"/>
      <c r="AP35" s="31"/>
      <c r="AQ35" s="31"/>
      <c r="AR35" s="31"/>
      <c r="AS35" s="31"/>
      <c r="AY35" s="62"/>
      <c r="AZ35" s="61">
        <f t="shared" si="5"/>
        <v>0</v>
      </c>
    </row>
    <row r="36" spans="1:52" s="7" customFormat="1" ht="12.75" customHeight="1" x14ac:dyDescent="0.2">
      <c r="A36" s="8">
        <v>2</v>
      </c>
      <c r="B36" s="244" t="s">
        <v>164</v>
      </c>
      <c r="C36" s="242">
        <v>625</v>
      </c>
      <c r="D36" s="238">
        <f t="shared" si="8"/>
        <v>-625</v>
      </c>
      <c r="E36" s="243" t="s">
        <v>193</v>
      </c>
      <c r="F36" s="240">
        <f t="shared" si="1"/>
        <v>92279.700000000012</v>
      </c>
      <c r="G36" s="77"/>
      <c r="H36" s="77">
        <v>5540</v>
      </c>
      <c r="I36" s="78">
        <f>C36</f>
        <v>625</v>
      </c>
      <c r="J36" s="77"/>
      <c r="K36" s="38"/>
      <c r="U36" s="61"/>
      <c r="V36" s="63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>
        <f>SUM(I36)</f>
        <v>625</v>
      </c>
      <c r="AO36" s="31"/>
      <c r="AP36" s="31"/>
      <c r="AQ36" s="31"/>
      <c r="AR36" s="31"/>
      <c r="AS36" s="31"/>
      <c r="AY36" s="62"/>
      <c r="AZ36" s="61">
        <f t="shared" si="5"/>
        <v>0</v>
      </c>
    </row>
    <row r="37" spans="1:52" s="7" customFormat="1" ht="12.75" customHeight="1" x14ac:dyDescent="0.2">
      <c r="A37" s="8">
        <v>2</v>
      </c>
      <c r="B37" s="241" t="s">
        <v>279</v>
      </c>
      <c r="C37" s="242">
        <f>SUM('TS 2019_2020 Est Travel'!G18+'TS 2019_2020 Est Travel'!G26+'TS 2019_2020 Est Travel'!G29+'TS 2019_2020 Est Travel'!G33)</f>
        <v>2804.6800000000003</v>
      </c>
      <c r="D37" s="238">
        <f t="shared" si="8"/>
        <v>-2804.6800000000003</v>
      </c>
      <c r="E37" s="243" t="s">
        <v>293</v>
      </c>
      <c r="F37" s="240">
        <f t="shared" si="1"/>
        <v>89475.020000000019</v>
      </c>
      <c r="G37" s="77"/>
      <c r="H37" s="77"/>
      <c r="I37" s="78"/>
      <c r="J37" s="77"/>
      <c r="K37" s="38"/>
      <c r="U37" s="61"/>
      <c r="V37" s="63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>
        <f>SUM(C37)</f>
        <v>2804.6800000000003</v>
      </c>
      <c r="AY37" s="62"/>
      <c r="AZ37" s="61">
        <f t="shared" si="5"/>
        <v>0</v>
      </c>
    </row>
    <row r="38" spans="1:52" s="7" customFormat="1" ht="12.75" customHeight="1" x14ac:dyDescent="0.2">
      <c r="A38" s="8">
        <v>2</v>
      </c>
      <c r="B38" s="244" t="s">
        <v>160</v>
      </c>
      <c r="C38" s="242">
        <v>1833.35</v>
      </c>
      <c r="D38" s="238">
        <f t="shared" si="8"/>
        <v>-1833.35</v>
      </c>
      <c r="E38" s="243">
        <v>43877</v>
      </c>
      <c r="F38" s="240">
        <f t="shared" si="1"/>
        <v>87641.670000000013</v>
      </c>
      <c r="G38" s="77"/>
      <c r="H38" s="77">
        <v>6590</v>
      </c>
      <c r="I38" s="78">
        <f>C38</f>
        <v>1833.35</v>
      </c>
      <c r="J38" s="77"/>
      <c r="K38" s="38"/>
      <c r="U38" s="61"/>
      <c r="V38" s="63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P38" s="31">
        <f>SUM(I38)</f>
        <v>1833.35</v>
      </c>
      <c r="AQ38" s="31"/>
      <c r="AR38" s="31"/>
      <c r="AS38" s="31"/>
      <c r="AY38" s="62"/>
      <c r="AZ38" s="61">
        <f t="shared" si="5"/>
        <v>0</v>
      </c>
    </row>
    <row r="39" spans="1:52" s="7" customFormat="1" ht="12.75" customHeight="1" x14ac:dyDescent="0.2">
      <c r="A39" s="8">
        <v>2</v>
      </c>
      <c r="B39" s="241" t="s">
        <v>155</v>
      </c>
      <c r="C39" s="242">
        <f>SUM(C29)</f>
        <v>18100</v>
      </c>
      <c r="D39" s="238">
        <f t="shared" si="8"/>
        <v>-18100</v>
      </c>
      <c r="E39" s="243">
        <v>43881</v>
      </c>
      <c r="F39" s="240">
        <f t="shared" si="1"/>
        <v>69541.670000000013</v>
      </c>
      <c r="G39" s="77"/>
      <c r="H39" s="77">
        <v>8570</v>
      </c>
      <c r="I39" s="80">
        <v>1375</v>
      </c>
      <c r="J39" s="77" t="s">
        <v>207</v>
      </c>
      <c r="K39" s="38" t="s">
        <v>207</v>
      </c>
      <c r="L39" s="7">
        <v>8510</v>
      </c>
      <c r="M39" s="38">
        <v>13600</v>
      </c>
      <c r="N39" s="50">
        <v>8250</v>
      </c>
      <c r="O39" s="38">
        <v>1000</v>
      </c>
      <c r="P39" s="50">
        <v>8530</v>
      </c>
      <c r="Q39" s="123">
        <v>2000</v>
      </c>
      <c r="R39" s="50">
        <v>8590</v>
      </c>
      <c r="S39" s="38">
        <v>125</v>
      </c>
      <c r="T39" s="51">
        <f>SUM(I39+M39+O39+Q39+S39)</f>
        <v>18100</v>
      </c>
      <c r="U39" s="61"/>
      <c r="V39" s="63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>
        <f>SUM(I39)</f>
        <v>1375</v>
      </c>
      <c r="AH39" s="31">
        <f>SUM(M39)</f>
        <v>13600</v>
      </c>
      <c r="AI39" s="31">
        <f>SUM(O39)</f>
        <v>1000</v>
      </c>
      <c r="AJ39" s="31">
        <f>SUM(Q39)</f>
        <v>2000</v>
      </c>
      <c r="AK39" s="31">
        <f>SUM(S39)</f>
        <v>125</v>
      </c>
      <c r="AL39" s="31"/>
      <c r="AM39" s="31"/>
      <c r="AN39" s="31"/>
      <c r="AO39" s="31"/>
      <c r="AP39" s="31"/>
      <c r="AQ39" s="31"/>
      <c r="AR39" s="31"/>
      <c r="AS39" s="31"/>
      <c r="AY39" s="62"/>
      <c r="AZ39" s="61">
        <f t="shared" si="5"/>
        <v>0</v>
      </c>
    </row>
    <row r="40" spans="1:52" s="7" customFormat="1" ht="12.75" customHeight="1" x14ac:dyDescent="0.2">
      <c r="A40" s="8">
        <v>2</v>
      </c>
      <c r="B40" s="241" t="s">
        <v>153</v>
      </c>
      <c r="C40" s="242">
        <v>100</v>
      </c>
      <c r="D40" s="238">
        <f t="shared" si="8"/>
        <v>-100</v>
      </c>
      <c r="E40" s="243">
        <v>43883</v>
      </c>
      <c r="F40" s="240">
        <f t="shared" si="1"/>
        <v>69441.670000000013</v>
      </c>
      <c r="G40" s="77"/>
      <c r="H40" s="77">
        <v>7850</v>
      </c>
      <c r="I40" s="78">
        <f>C40</f>
        <v>100</v>
      </c>
      <c r="J40" s="77"/>
      <c r="K40" s="38"/>
      <c r="U40" s="61">
        <f>SUM(I40)</f>
        <v>100</v>
      </c>
      <c r="V40" s="63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Y40" s="62"/>
      <c r="AZ40" s="61">
        <f t="shared" si="5"/>
        <v>0</v>
      </c>
    </row>
    <row r="41" spans="1:52" s="7" customFormat="1" ht="12.75" customHeight="1" x14ac:dyDescent="0.2">
      <c r="A41" s="8">
        <v>2</v>
      </c>
      <c r="B41" s="244" t="s">
        <v>266</v>
      </c>
      <c r="C41" s="242">
        <f>SUM('CCD - Mnthly Bills'!C20)</f>
        <v>1523.3625000000002</v>
      </c>
      <c r="D41" s="238">
        <f t="shared" si="8"/>
        <v>-1523.3625000000002</v>
      </c>
      <c r="E41" s="243" t="s">
        <v>265</v>
      </c>
      <c r="F41" s="240">
        <f t="shared" si="1"/>
        <v>67918.30750000001</v>
      </c>
      <c r="G41" s="77"/>
      <c r="H41" s="570" t="s">
        <v>264</v>
      </c>
      <c r="I41" s="570"/>
      <c r="J41" s="77"/>
      <c r="K41" s="38"/>
      <c r="U41" s="61"/>
      <c r="V41" s="63"/>
      <c r="W41" s="31">
        <f>SUM('CCD - Mnthly Bills'!H20)</f>
        <v>104.73750000000001</v>
      </c>
      <c r="X41" s="31"/>
      <c r="Y41" s="31">
        <f>SUM('CCD - Mnthly Bills'!F20)</f>
        <v>778.6875</v>
      </c>
      <c r="Z41" s="31"/>
      <c r="AA41" s="31">
        <f>SUM('CCD - Mnthly Bills'!K20)</f>
        <v>375</v>
      </c>
      <c r="AB41" s="31"/>
      <c r="AC41" s="31"/>
      <c r="AD41" s="31">
        <f>SUM('CCD - Mnthly Bills'!J20)</f>
        <v>90</v>
      </c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>
        <f>SUM('CCD - Mnthly Bills'!G20)</f>
        <v>111.1875</v>
      </c>
      <c r="AR41" s="31">
        <f>SUM('CCD - Mnthly Bills'!I20)</f>
        <v>63.75</v>
      </c>
      <c r="AS41" s="31"/>
      <c r="AY41" s="62"/>
      <c r="AZ41" s="61">
        <f t="shared" si="5"/>
        <v>0</v>
      </c>
    </row>
    <row r="42" spans="1:52" s="7" customFormat="1" ht="12.75" customHeight="1" x14ac:dyDescent="0.2">
      <c r="A42" s="8">
        <v>2</v>
      </c>
      <c r="B42" s="244" t="s">
        <v>288</v>
      </c>
      <c r="C42" s="242">
        <v>17000</v>
      </c>
      <c r="D42" s="238">
        <f>SUM(C42*-1)</f>
        <v>-17000</v>
      </c>
      <c r="E42" s="243" t="s">
        <v>289</v>
      </c>
      <c r="F42" s="240">
        <f t="shared" si="1"/>
        <v>50918.30750000001</v>
      </c>
      <c r="G42" s="77"/>
      <c r="H42" s="96"/>
      <c r="I42" s="96"/>
      <c r="J42" s="77"/>
      <c r="K42" s="38"/>
      <c r="U42" s="61"/>
      <c r="V42" s="63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>
        <v>16500</v>
      </c>
      <c r="AU42" s="38">
        <v>500</v>
      </c>
      <c r="AV42" s="38"/>
      <c r="AW42" s="38"/>
      <c r="AX42" s="38"/>
      <c r="AY42" s="62"/>
      <c r="AZ42" s="61">
        <f t="shared" si="5"/>
        <v>0</v>
      </c>
    </row>
    <row r="43" spans="1:52" ht="12.75" customHeight="1" x14ac:dyDescent="0.3">
      <c r="A43" s="8">
        <v>2</v>
      </c>
      <c r="B43" s="241" t="s">
        <v>150</v>
      </c>
      <c r="C43" s="242">
        <v>458.65</v>
      </c>
      <c r="D43" s="238">
        <f t="shared" si="8"/>
        <v>-458.65</v>
      </c>
      <c r="E43" s="243" t="s">
        <v>192</v>
      </c>
      <c r="F43" s="240">
        <f t="shared" si="1"/>
        <v>50459.657500000008</v>
      </c>
      <c r="G43" s="77"/>
      <c r="H43" s="77">
        <v>7910</v>
      </c>
      <c r="I43" s="78">
        <f t="shared" ref="I43:I51" si="9">C43</f>
        <v>458.65</v>
      </c>
      <c r="J43" s="77"/>
      <c r="K43" s="38"/>
      <c r="L43" s="7"/>
      <c r="U43" s="61"/>
      <c r="V43" s="63">
        <f>SUM(I43)</f>
        <v>458.65</v>
      </c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Z43" s="61">
        <f t="shared" si="5"/>
        <v>0</v>
      </c>
    </row>
    <row r="44" spans="1:52" ht="12.75" customHeight="1" x14ac:dyDescent="0.3">
      <c r="A44" s="8">
        <v>2</v>
      </c>
      <c r="B44" s="241" t="s">
        <v>191</v>
      </c>
      <c r="C44" s="242">
        <v>44.94</v>
      </c>
      <c r="D44" s="238">
        <f t="shared" si="8"/>
        <v>-44.94</v>
      </c>
      <c r="E44" s="243" t="s">
        <v>190</v>
      </c>
      <c r="F44" s="240">
        <f t="shared" si="1"/>
        <v>50414.717500000006</v>
      </c>
      <c r="G44" s="77"/>
      <c r="H44" s="77">
        <v>7950</v>
      </c>
      <c r="I44" s="78">
        <f t="shared" si="9"/>
        <v>44.94</v>
      </c>
      <c r="J44" s="77"/>
      <c r="K44" s="38"/>
      <c r="L44" s="7"/>
      <c r="U44" s="61"/>
      <c r="V44" s="63"/>
      <c r="W44" s="31">
        <f>SUM(I44)</f>
        <v>44.94</v>
      </c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Z44" s="61">
        <f t="shared" si="5"/>
        <v>0</v>
      </c>
    </row>
    <row r="45" spans="1:52" ht="12.75" customHeight="1" x14ac:dyDescent="0.3">
      <c r="A45" s="8">
        <v>2</v>
      </c>
      <c r="B45" s="241" t="s">
        <v>148</v>
      </c>
      <c r="C45" s="242">
        <v>386.23</v>
      </c>
      <c r="D45" s="238">
        <f t="shared" si="8"/>
        <v>-386.23</v>
      </c>
      <c r="E45" s="243" t="s">
        <v>189</v>
      </c>
      <c r="F45" s="240">
        <f t="shared" si="1"/>
        <v>50028.487500000003</v>
      </c>
      <c r="G45" s="77"/>
      <c r="H45" s="77">
        <v>7950</v>
      </c>
      <c r="I45" s="78">
        <f t="shared" si="9"/>
        <v>386.23</v>
      </c>
      <c r="J45" s="77"/>
      <c r="K45" s="38"/>
      <c r="L45" s="7"/>
      <c r="U45" s="61"/>
      <c r="V45" s="63"/>
      <c r="W45" s="31">
        <f>SUM(I45)</f>
        <v>386.23</v>
      </c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Z45" s="61">
        <f t="shared" si="5"/>
        <v>0</v>
      </c>
    </row>
    <row r="46" spans="1:52" ht="12.75" customHeight="1" x14ac:dyDescent="0.3">
      <c r="A46" s="8">
        <v>2</v>
      </c>
      <c r="B46" s="241" t="s">
        <v>146</v>
      </c>
      <c r="C46" s="242">
        <v>149.99</v>
      </c>
      <c r="D46" s="238">
        <f t="shared" si="8"/>
        <v>-149.99</v>
      </c>
      <c r="E46" s="243">
        <v>43889</v>
      </c>
      <c r="F46" s="240">
        <f t="shared" si="1"/>
        <v>49878.497500000005</v>
      </c>
      <c r="G46" s="77"/>
      <c r="H46" s="77">
        <v>7950</v>
      </c>
      <c r="I46" s="78">
        <f t="shared" si="9"/>
        <v>149.99</v>
      </c>
      <c r="J46" s="77"/>
      <c r="K46" s="38"/>
      <c r="L46" s="7"/>
      <c r="U46" s="61"/>
      <c r="V46" s="63"/>
      <c r="W46" s="31">
        <f>SUM(I46)</f>
        <v>149.99</v>
      </c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Z46" s="61">
        <f t="shared" si="5"/>
        <v>0</v>
      </c>
    </row>
    <row r="47" spans="1:52" ht="12.75" customHeight="1" x14ac:dyDescent="0.3">
      <c r="A47" s="8">
        <v>2</v>
      </c>
      <c r="B47" s="241" t="s">
        <v>142</v>
      </c>
      <c r="C47" s="242">
        <v>2500</v>
      </c>
      <c r="D47" s="238">
        <f t="shared" si="8"/>
        <v>-2500</v>
      </c>
      <c r="E47" s="243">
        <v>43890</v>
      </c>
      <c r="F47" s="240">
        <f t="shared" si="1"/>
        <v>47378.497500000005</v>
      </c>
      <c r="G47" s="77"/>
      <c r="H47" s="77">
        <v>7950</v>
      </c>
      <c r="I47" s="78">
        <f t="shared" si="9"/>
        <v>2500</v>
      </c>
      <c r="J47" s="77"/>
      <c r="K47" s="38"/>
      <c r="L47" s="7"/>
      <c r="U47" s="61"/>
      <c r="V47" s="63"/>
      <c r="X47" s="31"/>
      <c r="Y47" s="31"/>
      <c r="Z47" s="31">
        <f>SUM(I47)</f>
        <v>2500</v>
      </c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Z47" s="61">
        <f t="shared" si="5"/>
        <v>0</v>
      </c>
    </row>
    <row r="48" spans="1:52" ht="12.75" customHeight="1" x14ac:dyDescent="0.3">
      <c r="A48" s="8">
        <v>2</v>
      </c>
      <c r="B48" s="241" t="s">
        <v>141</v>
      </c>
      <c r="C48" s="242">
        <v>1080</v>
      </c>
      <c r="D48" s="238">
        <f t="shared" si="8"/>
        <v>-1080</v>
      </c>
      <c r="E48" s="243">
        <v>43890</v>
      </c>
      <c r="F48" s="240">
        <f t="shared" si="1"/>
        <v>46298.497500000005</v>
      </c>
      <c r="G48" s="77"/>
      <c r="H48" s="77">
        <v>5710</v>
      </c>
      <c r="I48" s="78">
        <f t="shared" si="9"/>
        <v>1080</v>
      </c>
      <c r="J48" s="77"/>
      <c r="K48" s="38"/>
      <c r="L48" s="7"/>
      <c r="U48" s="61"/>
      <c r="V48" s="63"/>
      <c r="W48" s="31"/>
      <c r="X48" s="31">
        <f>SUM(I48)</f>
        <v>1080</v>
      </c>
      <c r="Y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Z48" s="61">
        <f t="shared" si="5"/>
        <v>0</v>
      </c>
    </row>
    <row r="49" spans="1:52" ht="12.75" customHeight="1" x14ac:dyDescent="0.3">
      <c r="A49" s="8">
        <v>2</v>
      </c>
      <c r="B49" s="241" t="s">
        <v>144</v>
      </c>
      <c r="C49" s="242">
        <v>300</v>
      </c>
      <c r="D49" s="238">
        <f t="shared" si="8"/>
        <v>-300</v>
      </c>
      <c r="E49" s="243" t="s">
        <v>188</v>
      </c>
      <c r="F49" s="240">
        <f t="shared" si="1"/>
        <v>45998.497500000005</v>
      </c>
      <c r="G49" s="77"/>
      <c r="H49" s="77">
        <v>6730</v>
      </c>
      <c r="I49" s="78">
        <f t="shared" si="9"/>
        <v>300</v>
      </c>
      <c r="J49" s="77"/>
      <c r="K49" s="38"/>
      <c r="L49" s="7"/>
      <c r="U49" s="61"/>
      <c r="V49" s="63"/>
      <c r="W49" s="31">
        <f>SUM(I49)</f>
        <v>300</v>
      </c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Z49" s="61">
        <f t="shared" si="5"/>
        <v>0</v>
      </c>
    </row>
    <row r="50" spans="1:52" ht="12.75" customHeight="1" x14ac:dyDescent="0.3">
      <c r="A50" s="8">
        <v>2</v>
      </c>
      <c r="B50" s="244" t="s">
        <v>143</v>
      </c>
      <c r="C50" s="242">
        <v>75</v>
      </c>
      <c r="D50" s="238">
        <f t="shared" si="8"/>
        <v>-75</v>
      </c>
      <c r="E50" s="243" t="s">
        <v>188</v>
      </c>
      <c r="F50" s="240">
        <f t="shared" si="1"/>
        <v>45923.497500000005</v>
      </c>
      <c r="G50" s="77"/>
      <c r="H50" s="77">
        <v>7010</v>
      </c>
      <c r="I50" s="78">
        <f t="shared" si="9"/>
        <v>75</v>
      </c>
      <c r="J50" s="77"/>
      <c r="K50" s="38"/>
      <c r="L50" s="7"/>
      <c r="U50" s="61"/>
      <c r="V50" s="63"/>
      <c r="W50" s="31">
        <f>SUM(I50)</f>
        <v>75</v>
      </c>
      <c r="X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Z50" s="61">
        <f t="shared" si="5"/>
        <v>0</v>
      </c>
    </row>
    <row r="51" spans="1:52" ht="12.75" customHeight="1" thickBot="1" x14ac:dyDescent="0.35">
      <c r="A51" s="215">
        <v>2</v>
      </c>
      <c r="B51" s="250" t="s">
        <v>348</v>
      </c>
      <c r="C51" s="251">
        <v>5000</v>
      </c>
      <c r="D51" s="252">
        <f t="shared" si="8"/>
        <v>-5000</v>
      </c>
      <c r="E51" s="253" t="s">
        <v>374</v>
      </c>
      <c r="F51" s="254">
        <f t="shared" si="1"/>
        <v>40923.497500000005</v>
      </c>
      <c r="G51" s="77"/>
      <c r="H51" s="77">
        <v>5130</v>
      </c>
      <c r="I51" s="78">
        <f t="shared" si="9"/>
        <v>5000</v>
      </c>
      <c r="J51" s="77"/>
      <c r="K51" s="38"/>
      <c r="L51" s="7"/>
      <c r="U51" s="100"/>
      <c r="V51" s="99"/>
      <c r="W51" s="99"/>
      <c r="X51" s="99"/>
      <c r="Y51" s="99"/>
      <c r="Z51" s="99"/>
      <c r="AA51" s="99">
        <f>SUM(I51)</f>
        <v>5000</v>
      </c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73"/>
      <c r="AU51" s="73"/>
      <c r="AV51" s="73"/>
      <c r="AW51" s="73"/>
      <c r="AX51" s="73"/>
      <c r="AY51" s="73"/>
      <c r="AZ51" s="100">
        <f t="shared" si="5"/>
        <v>0</v>
      </c>
    </row>
    <row r="52" spans="1:52" s="105" customFormat="1" ht="12.75" customHeight="1" x14ac:dyDescent="0.3">
      <c r="A52" s="42"/>
      <c r="B52" s="255"/>
      <c r="C52" s="256"/>
      <c r="D52" s="257"/>
      <c r="E52" s="258" t="s">
        <v>283</v>
      </c>
      <c r="F52" s="240">
        <f t="shared" si="1"/>
        <v>40923.497500000005</v>
      </c>
      <c r="G52" s="77"/>
      <c r="H52" s="77"/>
      <c r="I52" s="78"/>
      <c r="J52" s="77"/>
      <c r="K52" s="101"/>
      <c r="L52" s="102"/>
      <c r="M52" s="102"/>
      <c r="N52" s="102"/>
      <c r="O52" s="102"/>
      <c r="P52" s="102"/>
      <c r="Q52" s="102"/>
      <c r="R52" s="102"/>
      <c r="S52" s="102"/>
      <c r="T52" s="102"/>
      <c r="U52" s="109">
        <f t="shared" ref="U52:AY52" si="10">SUM(U18:U51)</f>
        <v>294.95</v>
      </c>
      <c r="V52" s="110">
        <f t="shared" si="10"/>
        <v>708.65</v>
      </c>
      <c r="W52" s="110">
        <f t="shared" si="10"/>
        <v>1060.8975</v>
      </c>
      <c r="X52" s="110">
        <f t="shared" si="10"/>
        <v>1080</v>
      </c>
      <c r="Y52" s="110">
        <f t="shared" si="10"/>
        <v>778.6875</v>
      </c>
      <c r="Z52" s="110">
        <f t="shared" si="10"/>
        <v>2500</v>
      </c>
      <c r="AA52" s="110">
        <f t="shared" si="10"/>
        <v>13375</v>
      </c>
      <c r="AB52" s="110">
        <f t="shared" si="10"/>
        <v>7500</v>
      </c>
      <c r="AC52" s="110">
        <f t="shared" si="10"/>
        <v>2350</v>
      </c>
      <c r="AD52" s="110">
        <f t="shared" si="10"/>
        <v>1674</v>
      </c>
      <c r="AE52" s="110">
        <f t="shared" si="10"/>
        <v>8333</v>
      </c>
      <c r="AF52" s="110">
        <f t="shared" si="10"/>
        <v>150</v>
      </c>
      <c r="AG52" s="110">
        <f t="shared" si="10"/>
        <v>2750</v>
      </c>
      <c r="AH52" s="110">
        <f t="shared" si="10"/>
        <v>27200</v>
      </c>
      <c r="AI52" s="110">
        <f t="shared" si="10"/>
        <v>2000</v>
      </c>
      <c r="AJ52" s="110">
        <f t="shared" si="10"/>
        <v>4000</v>
      </c>
      <c r="AK52" s="110">
        <f t="shared" si="10"/>
        <v>250</v>
      </c>
      <c r="AL52" s="110">
        <f t="shared" si="10"/>
        <v>1500</v>
      </c>
      <c r="AM52" s="110">
        <f t="shared" si="10"/>
        <v>200</v>
      </c>
      <c r="AN52" s="110">
        <f t="shared" si="10"/>
        <v>625</v>
      </c>
      <c r="AO52" s="110">
        <f t="shared" si="10"/>
        <v>0</v>
      </c>
      <c r="AP52" s="110">
        <f t="shared" si="10"/>
        <v>1833.35</v>
      </c>
      <c r="AQ52" s="110">
        <f t="shared" si="10"/>
        <v>111.1875</v>
      </c>
      <c r="AR52" s="110">
        <f t="shared" si="10"/>
        <v>63.75</v>
      </c>
      <c r="AS52" s="110">
        <f t="shared" si="10"/>
        <v>0</v>
      </c>
      <c r="AT52" s="110">
        <f t="shared" si="10"/>
        <v>19304.68</v>
      </c>
      <c r="AU52" s="110">
        <f t="shared" si="10"/>
        <v>3439.25</v>
      </c>
      <c r="AV52" s="110">
        <f t="shared" si="10"/>
        <v>800</v>
      </c>
      <c r="AW52" s="110">
        <f t="shared" si="10"/>
        <v>0</v>
      </c>
      <c r="AX52" s="110">
        <f t="shared" si="10"/>
        <v>5000</v>
      </c>
      <c r="AY52" s="110">
        <f t="shared" si="10"/>
        <v>1750</v>
      </c>
      <c r="AZ52" s="103"/>
    </row>
    <row r="53" spans="1:52" s="105" customFormat="1" ht="12.75" customHeight="1" x14ac:dyDescent="0.3">
      <c r="A53" s="403">
        <v>3</v>
      </c>
      <c r="B53" s="398" t="s">
        <v>388</v>
      </c>
      <c r="C53" s="399">
        <f>SUM(C18)</f>
        <v>5000</v>
      </c>
      <c r="D53" s="400">
        <f t="shared" ref="D53" si="11">SUM(C53*-1)</f>
        <v>-5000</v>
      </c>
      <c r="E53" s="401" t="s">
        <v>390</v>
      </c>
      <c r="F53" s="402">
        <f t="shared" si="1"/>
        <v>35923.497500000005</v>
      </c>
      <c r="G53" s="77"/>
      <c r="H53" s="77"/>
      <c r="I53" s="78"/>
      <c r="J53" s="77"/>
      <c r="K53" s="101"/>
      <c r="L53" s="102"/>
      <c r="M53" s="102"/>
      <c r="N53" s="102"/>
      <c r="O53" s="102"/>
      <c r="P53" s="102"/>
      <c r="Q53" s="102"/>
      <c r="R53" s="102"/>
      <c r="S53" s="102"/>
      <c r="T53" s="102"/>
      <c r="U53" s="103"/>
      <c r="V53" s="10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102"/>
      <c r="AU53" s="102"/>
      <c r="AV53" s="102"/>
      <c r="AW53" s="102"/>
      <c r="AX53" s="44">
        <f>SUM(C53)</f>
        <v>5000</v>
      </c>
      <c r="AY53" s="120"/>
      <c r="AZ53" s="103"/>
    </row>
    <row r="54" spans="1:52" ht="12.75" customHeight="1" x14ac:dyDescent="0.3">
      <c r="A54" s="8">
        <v>3</v>
      </c>
      <c r="B54" s="241" t="s">
        <v>177</v>
      </c>
      <c r="C54" s="242">
        <v>2000</v>
      </c>
      <c r="D54" s="238">
        <f t="shared" si="8"/>
        <v>-2000</v>
      </c>
      <c r="E54" s="243">
        <v>43891</v>
      </c>
      <c r="F54" s="240">
        <f t="shared" si="1"/>
        <v>33923.497500000005</v>
      </c>
      <c r="G54" s="77"/>
      <c r="H54" s="77"/>
      <c r="I54" s="78"/>
      <c r="J54" s="77"/>
      <c r="K54" s="38"/>
      <c r="L54" s="7"/>
      <c r="U54" s="61"/>
      <c r="V54" s="63">
        <v>250</v>
      </c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Y54" s="63">
        <v>1750</v>
      </c>
      <c r="AZ54" s="61">
        <f t="shared" ref="AZ54:AZ124" si="12">SUM(U54:AY54)-C54</f>
        <v>0</v>
      </c>
    </row>
    <row r="55" spans="1:52" s="405" customFormat="1" ht="12.75" customHeight="1" x14ac:dyDescent="0.3">
      <c r="A55" s="215">
        <v>3</v>
      </c>
      <c r="B55" s="479" t="s">
        <v>398</v>
      </c>
      <c r="C55" s="251">
        <v>2000</v>
      </c>
      <c r="D55" s="252">
        <f t="shared" si="8"/>
        <v>-2000</v>
      </c>
      <c r="E55" s="480" t="s">
        <v>397</v>
      </c>
      <c r="F55" s="254">
        <f t="shared" si="1"/>
        <v>31923.497500000005</v>
      </c>
      <c r="G55" s="77"/>
      <c r="H55" s="77"/>
      <c r="I55" s="78"/>
      <c r="J55" s="77"/>
      <c r="K55" s="38"/>
      <c r="L55" s="7"/>
      <c r="M55" s="7"/>
      <c r="N55" s="7"/>
      <c r="O55" s="7"/>
      <c r="P55" s="7"/>
      <c r="Q55" s="7"/>
      <c r="R55" s="7"/>
      <c r="S55" s="7"/>
      <c r="T55" s="7"/>
      <c r="U55" s="61"/>
      <c r="V55" s="63"/>
      <c r="W55" s="31"/>
      <c r="X55" s="31"/>
      <c r="Y55" s="31"/>
      <c r="Z55" s="31"/>
      <c r="AA55" s="31">
        <f>SUM(C55)</f>
        <v>2000</v>
      </c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7"/>
      <c r="AU55" s="7"/>
      <c r="AV55" s="7"/>
      <c r="AW55" s="7"/>
      <c r="AX55" s="7"/>
      <c r="AY55" s="63"/>
      <c r="AZ55" s="61"/>
    </row>
    <row r="56" spans="1:52" s="405" customFormat="1" ht="12.75" customHeight="1" x14ac:dyDescent="0.3">
      <c r="A56" s="215">
        <v>3</v>
      </c>
      <c r="B56" s="479" t="s">
        <v>401</v>
      </c>
      <c r="C56" s="251">
        <v>800</v>
      </c>
      <c r="D56" s="252">
        <f t="shared" si="8"/>
        <v>-800</v>
      </c>
      <c r="E56" s="480" t="s">
        <v>402</v>
      </c>
      <c r="F56" s="254">
        <f t="shared" si="1"/>
        <v>31123.497500000005</v>
      </c>
      <c r="G56" s="77"/>
      <c r="H56" s="77"/>
      <c r="I56" s="78"/>
      <c r="J56" s="77"/>
      <c r="K56" s="38"/>
      <c r="L56" s="7"/>
      <c r="M56" s="7"/>
      <c r="N56" s="7"/>
      <c r="O56" s="7"/>
      <c r="P56" s="7"/>
      <c r="Q56" s="7"/>
      <c r="R56" s="7"/>
      <c r="S56" s="7"/>
      <c r="T56" s="7"/>
      <c r="U56" s="61"/>
      <c r="V56" s="63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7"/>
      <c r="AU56" s="7"/>
      <c r="AV56" s="31">
        <f>SUM(C56)</f>
        <v>800</v>
      </c>
      <c r="AW56" s="7"/>
      <c r="AX56" s="7"/>
      <c r="AY56" s="63"/>
      <c r="AZ56" s="61"/>
    </row>
    <row r="57" spans="1:52" ht="12.75" customHeight="1" x14ac:dyDescent="0.3">
      <c r="A57" s="8">
        <v>3</v>
      </c>
      <c r="B57" s="241" t="s">
        <v>176</v>
      </c>
      <c r="C57" s="242">
        <v>7500</v>
      </c>
      <c r="D57" s="238">
        <f t="shared" si="8"/>
        <v>-7500</v>
      </c>
      <c r="E57" s="243">
        <v>43891</v>
      </c>
      <c r="F57" s="478">
        <f t="shared" si="1"/>
        <v>23623.497500000005</v>
      </c>
      <c r="G57" s="77"/>
      <c r="H57" s="77">
        <v>5510</v>
      </c>
      <c r="I57" s="78">
        <f>C57</f>
        <v>7500</v>
      </c>
      <c r="J57" s="77"/>
      <c r="K57" s="38"/>
      <c r="L57" s="7"/>
      <c r="U57" s="61"/>
      <c r="V57" s="63"/>
      <c r="W57" s="31"/>
      <c r="X57" s="31"/>
      <c r="Y57" s="31"/>
      <c r="Z57" s="31"/>
      <c r="AA57" s="31"/>
      <c r="AB57" s="31">
        <f>SUM(I57)</f>
        <v>7500</v>
      </c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Z57" s="61">
        <f t="shared" si="12"/>
        <v>0</v>
      </c>
    </row>
    <row r="58" spans="1:52" ht="12.75" customHeight="1" x14ac:dyDescent="0.3">
      <c r="A58" s="8">
        <v>3</v>
      </c>
      <c r="B58" s="241" t="s">
        <v>392</v>
      </c>
      <c r="C58" s="242">
        <v>4500</v>
      </c>
      <c r="D58" s="238">
        <f t="shared" si="8"/>
        <v>-4500</v>
      </c>
      <c r="E58" s="243" t="s">
        <v>393</v>
      </c>
      <c r="F58" s="478">
        <f t="shared" si="1"/>
        <v>19123.497500000005</v>
      </c>
      <c r="G58" s="77"/>
      <c r="H58" s="77"/>
      <c r="I58" s="78"/>
      <c r="J58" s="77"/>
      <c r="K58" s="38"/>
      <c r="L58" s="7"/>
      <c r="U58" s="61"/>
      <c r="V58" s="63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W58" s="31">
        <f>SUM(C58)</f>
        <v>4500</v>
      </c>
      <c r="AZ58" s="61"/>
    </row>
    <row r="59" spans="1:52" ht="12.75" customHeight="1" x14ac:dyDescent="0.3">
      <c r="A59" s="8">
        <v>3</v>
      </c>
      <c r="B59" s="241" t="s">
        <v>175</v>
      </c>
      <c r="C59" s="242">
        <v>550</v>
      </c>
      <c r="D59" s="238">
        <f t="shared" si="8"/>
        <v>-550</v>
      </c>
      <c r="E59" s="243">
        <v>43891</v>
      </c>
      <c r="F59" s="240">
        <f>SUM(F57+D59)</f>
        <v>23073.497500000005</v>
      </c>
      <c r="G59" s="77"/>
      <c r="H59" s="77">
        <v>7650</v>
      </c>
      <c r="I59" s="78">
        <f>C59</f>
        <v>550</v>
      </c>
      <c r="J59" s="77"/>
      <c r="K59" s="38"/>
      <c r="L59" s="7"/>
      <c r="U59" s="61"/>
      <c r="V59" s="63"/>
      <c r="W59" s="31"/>
      <c r="X59" s="31"/>
      <c r="Y59" s="31"/>
      <c r="Z59" s="31"/>
      <c r="AA59" s="31"/>
      <c r="AB59" s="31"/>
      <c r="AC59" s="31">
        <f>SUM(I59)</f>
        <v>550</v>
      </c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Z59" s="61">
        <f t="shared" si="12"/>
        <v>0</v>
      </c>
    </row>
    <row r="60" spans="1:52" ht="12.75" customHeight="1" x14ac:dyDescent="0.3">
      <c r="A60" s="8">
        <v>3</v>
      </c>
      <c r="B60" s="241" t="s">
        <v>174</v>
      </c>
      <c r="C60" s="242">
        <v>1800</v>
      </c>
      <c r="D60" s="238">
        <f t="shared" si="8"/>
        <v>-1800</v>
      </c>
      <c r="E60" s="243" t="s">
        <v>187</v>
      </c>
      <c r="F60" s="240">
        <f t="shared" si="1"/>
        <v>21273.497500000005</v>
      </c>
      <c r="G60" s="77"/>
      <c r="H60" s="77">
        <v>7650</v>
      </c>
      <c r="I60" s="78">
        <f>C60</f>
        <v>1800</v>
      </c>
      <c r="J60" s="77"/>
      <c r="K60" s="38"/>
      <c r="L60" s="7"/>
      <c r="U60" s="61"/>
      <c r="V60" s="63"/>
      <c r="W60" s="31"/>
      <c r="X60" s="31"/>
      <c r="Y60" s="31"/>
      <c r="Z60" s="31"/>
      <c r="AA60" s="31"/>
      <c r="AB60" s="31"/>
      <c r="AC60" s="31">
        <f>SUM(I60)</f>
        <v>1800</v>
      </c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Z60" s="61">
        <f t="shared" si="12"/>
        <v>0</v>
      </c>
    </row>
    <row r="61" spans="1:52" ht="12.75" customHeight="1" x14ac:dyDescent="0.3">
      <c r="A61" s="8">
        <v>3</v>
      </c>
      <c r="B61" s="241" t="s">
        <v>172</v>
      </c>
      <c r="C61" s="242">
        <v>9917</v>
      </c>
      <c r="D61" s="238">
        <f t="shared" si="8"/>
        <v>-9917</v>
      </c>
      <c r="E61" s="243">
        <v>43891</v>
      </c>
      <c r="F61" s="240">
        <f t="shared" si="1"/>
        <v>11356.497500000005</v>
      </c>
      <c r="G61" s="77"/>
      <c r="H61" s="77">
        <v>5750</v>
      </c>
      <c r="I61" s="80">
        <v>1584</v>
      </c>
      <c r="J61" s="77">
        <v>5520</v>
      </c>
      <c r="K61" s="38">
        <v>8333</v>
      </c>
      <c r="L61" s="7"/>
      <c r="U61" s="61"/>
      <c r="V61" s="63"/>
      <c r="W61" s="31"/>
      <c r="X61" s="31"/>
      <c r="Y61" s="31"/>
      <c r="Z61" s="31"/>
      <c r="AA61" s="31"/>
      <c r="AB61" s="31"/>
      <c r="AC61" s="31"/>
      <c r="AD61" s="31">
        <f>SUM(I61)</f>
        <v>1584</v>
      </c>
      <c r="AE61" s="31">
        <f>SUM(K61)</f>
        <v>8333</v>
      </c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Z61" s="61">
        <f t="shared" si="12"/>
        <v>0</v>
      </c>
    </row>
    <row r="62" spans="1:52" ht="12.75" customHeight="1" x14ac:dyDescent="0.3">
      <c r="A62" s="8">
        <v>3</v>
      </c>
      <c r="B62" s="241" t="s">
        <v>171</v>
      </c>
      <c r="C62" s="242">
        <v>34.950000000000003</v>
      </c>
      <c r="D62" s="238">
        <f t="shared" si="8"/>
        <v>-34.950000000000003</v>
      </c>
      <c r="E62" s="243">
        <v>43891</v>
      </c>
      <c r="F62" s="240">
        <f t="shared" si="1"/>
        <v>11321.547500000004</v>
      </c>
      <c r="G62" s="77"/>
      <c r="H62" s="77">
        <v>7850</v>
      </c>
      <c r="I62" s="78">
        <f>C62</f>
        <v>34.950000000000003</v>
      </c>
      <c r="J62" s="77"/>
      <c r="K62" s="38"/>
      <c r="L62" s="7"/>
      <c r="U62" s="61">
        <f>SUM(I62)</f>
        <v>34.950000000000003</v>
      </c>
      <c r="V62" s="63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Z62" s="61">
        <f t="shared" si="12"/>
        <v>0</v>
      </c>
    </row>
    <row r="63" spans="1:52" ht="12.75" customHeight="1" x14ac:dyDescent="0.3">
      <c r="A63" s="8">
        <v>3</v>
      </c>
      <c r="B63" s="241" t="s">
        <v>169</v>
      </c>
      <c r="C63" s="242">
        <v>150</v>
      </c>
      <c r="D63" s="238">
        <f t="shared" si="8"/>
        <v>-150</v>
      </c>
      <c r="E63" s="243" t="s">
        <v>186</v>
      </c>
      <c r="F63" s="240">
        <f t="shared" si="1"/>
        <v>11171.547500000004</v>
      </c>
      <c r="G63" s="77"/>
      <c r="H63" s="77">
        <v>7090</v>
      </c>
      <c r="I63" s="78">
        <f>C63</f>
        <v>150</v>
      </c>
      <c r="J63" s="77"/>
      <c r="K63" s="38"/>
      <c r="L63" s="7"/>
      <c r="U63" s="61"/>
      <c r="V63" s="63"/>
      <c r="W63" s="31"/>
      <c r="X63" s="31"/>
      <c r="Y63" s="31"/>
      <c r="Z63" s="31"/>
      <c r="AA63" s="31"/>
      <c r="AB63" s="31"/>
      <c r="AC63" s="31"/>
      <c r="AD63" s="31"/>
      <c r="AE63" s="31"/>
      <c r="AF63" s="31">
        <f>SUM(I63)</f>
        <v>150</v>
      </c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Z63" s="61">
        <f t="shared" si="12"/>
        <v>0</v>
      </c>
    </row>
    <row r="64" spans="1:52" ht="12.75" customHeight="1" x14ac:dyDescent="0.3">
      <c r="A64" s="129">
        <v>3</v>
      </c>
      <c r="B64" s="260" t="s">
        <v>155</v>
      </c>
      <c r="C64" s="261">
        <f>SUM(T64)</f>
        <v>13385</v>
      </c>
      <c r="D64" s="262">
        <f t="shared" si="8"/>
        <v>-13385</v>
      </c>
      <c r="E64" s="263">
        <v>43895</v>
      </c>
      <c r="F64" s="264">
        <f t="shared" si="1"/>
        <v>-2213.4524999999958</v>
      </c>
      <c r="G64" s="77"/>
      <c r="H64" s="77">
        <v>8570</v>
      </c>
      <c r="I64" s="80">
        <v>1010</v>
      </c>
      <c r="J64" s="77" t="s">
        <v>207</v>
      </c>
      <c r="K64" s="38" t="s">
        <v>207</v>
      </c>
      <c r="L64" s="7">
        <v>8510</v>
      </c>
      <c r="M64" s="38">
        <v>10000</v>
      </c>
      <c r="N64" s="50">
        <v>8520</v>
      </c>
      <c r="O64" s="38">
        <v>750</v>
      </c>
      <c r="P64" s="50">
        <v>8530</v>
      </c>
      <c r="Q64" s="123">
        <v>1500</v>
      </c>
      <c r="R64" s="50">
        <v>8590</v>
      </c>
      <c r="S64" s="38">
        <v>125</v>
      </c>
      <c r="T64" s="51">
        <f>SUM(I64+M64+O64+Q64+S64)</f>
        <v>13385</v>
      </c>
      <c r="U64" s="61"/>
      <c r="V64" s="63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>
        <f>SUM(I64)</f>
        <v>1010</v>
      </c>
      <c r="AH64" s="31">
        <f>SUM(M64)</f>
        <v>10000</v>
      </c>
      <c r="AI64" s="31">
        <f>SUM(O64)</f>
        <v>750</v>
      </c>
      <c r="AJ64" s="31">
        <f>SUM(Q64)</f>
        <v>1500</v>
      </c>
      <c r="AK64" s="31">
        <f>SUM(S64)</f>
        <v>125</v>
      </c>
      <c r="AL64" s="31"/>
      <c r="AM64" s="31"/>
      <c r="AN64" s="31"/>
      <c r="AO64" s="31"/>
      <c r="AP64" s="31"/>
      <c r="AQ64" s="31"/>
      <c r="AR64" s="31"/>
      <c r="AS64" s="31"/>
      <c r="AZ64" s="61">
        <f t="shared" si="12"/>
        <v>0</v>
      </c>
    </row>
    <row r="65" spans="1:52" ht="12.75" customHeight="1" x14ac:dyDescent="0.3">
      <c r="A65" s="8">
        <v>3</v>
      </c>
      <c r="B65" s="241" t="s">
        <v>153</v>
      </c>
      <c r="C65" s="242">
        <v>100</v>
      </c>
      <c r="D65" s="238">
        <f t="shared" si="8"/>
        <v>-100</v>
      </c>
      <c r="E65" s="243">
        <v>43897</v>
      </c>
      <c r="F65" s="240">
        <f t="shared" si="1"/>
        <v>-2313.4524999999958</v>
      </c>
      <c r="G65" s="77"/>
      <c r="H65" s="77">
        <v>7850</v>
      </c>
      <c r="I65" s="78">
        <f>C65</f>
        <v>100</v>
      </c>
      <c r="J65" s="77"/>
      <c r="K65" s="38"/>
      <c r="L65" s="7"/>
      <c r="U65" s="61">
        <f>SUM(I65)</f>
        <v>100</v>
      </c>
      <c r="V65" s="63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Z65" s="61">
        <f t="shared" si="12"/>
        <v>0</v>
      </c>
    </row>
    <row r="66" spans="1:52" ht="12.75" customHeight="1" x14ac:dyDescent="0.3">
      <c r="A66" s="135">
        <v>3</v>
      </c>
      <c r="B66" s="265" t="s">
        <v>157</v>
      </c>
      <c r="C66" s="266"/>
      <c r="D66" s="267">
        <v>40630.800000000003</v>
      </c>
      <c r="E66" s="268" t="s">
        <v>158</v>
      </c>
      <c r="F66" s="269">
        <f t="shared" si="1"/>
        <v>38317.347500000003</v>
      </c>
      <c r="G66" s="82"/>
      <c r="H66" s="77" t="s">
        <v>207</v>
      </c>
      <c r="I66" s="78">
        <f>SUM(I64*M66)</f>
        <v>0</v>
      </c>
      <c r="J66" s="77"/>
      <c r="K66" s="38"/>
      <c r="L66" s="7"/>
      <c r="U66" s="61"/>
      <c r="V66" s="63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Z66" s="61">
        <f t="shared" si="12"/>
        <v>0</v>
      </c>
    </row>
    <row r="67" spans="1:52" ht="12.75" customHeight="1" x14ac:dyDescent="0.3">
      <c r="A67" s="135">
        <v>3</v>
      </c>
      <c r="B67" s="265" t="s">
        <v>157</v>
      </c>
      <c r="C67" s="266"/>
      <c r="D67" s="141">
        <v>262637.08</v>
      </c>
      <c r="E67" s="268" t="s">
        <v>156</v>
      </c>
      <c r="F67" s="269">
        <f t="shared" si="1"/>
        <v>300954.42749999999</v>
      </c>
      <c r="G67" s="77"/>
      <c r="H67" s="77" t="s">
        <v>207</v>
      </c>
      <c r="I67" s="77" t="s">
        <v>207</v>
      </c>
      <c r="J67" s="77"/>
      <c r="K67" s="38"/>
      <c r="L67" s="7"/>
      <c r="U67" s="61"/>
      <c r="V67" s="63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Z67" s="61">
        <f t="shared" si="12"/>
        <v>0</v>
      </c>
    </row>
    <row r="68" spans="1:52" ht="12.75" customHeight="1" x14ac:dyDescent="0.3">
      <c r="A68" s="8">
        <v>3</v>
      </c>
      <c r="B68" s="241" t="s">
        <v>165</v>
      </c>
      <c r="C68" s="242">
        <v>200</v>
      </c>
      <c r="D68" s="238">
        <f>SUM(C68*-1)</f>
        <v>-200</v>
      </c>
      <c r="E68" s="243">
        <v>43905</v>
      </c>
      <c r="F68" s="240">
        <f t="shared" si="1"/>
        <v>300754.42749999999</v>
      </c>
      <c r="G68" s="82"/>
      <c r="H68" s="77">
        <v>6770</v>
      </c>
      <c r="I68" s="78">
        <f>C68</f>
        <v>200</v>
      </c>
      <c r="J68" s="77"/>
      <c r="K68" s="38"/>
      <c r="L68" s="7"/>
      <c r="U68" s="61"/>
      <c r="V68" s="63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>
        <f>SUM(I68)</f>
        <v>200</v>
      </c>
      <c r="AN68" s="31"/>
      <c r="AO68" s="31"/>
      <c r="AP68" s="31"/>
      <c r="AQ68" s="31"/>
      <c r="AR68" s="31"/>
      <c r="AS68" s="31"/>
      <c r="AZ68" s="61">
        <f t="shared" si="12"/>
        <v>0</v>
      </c>
    </row>
    <row r="69" spans="1:52" ht="12.75" customHeight="1" x14ac:dyDescent="0.3">
      <c r="A69" s="8">
        <v>3</v>
      </c>
      <c r="B69" s="244" t="s">
        <v>164</v>
      </c>
      <c r="C69" s="242">
        <v>625</v>
      </c>
      <c r="D69" s="238">
        <f>SUM(C69*-1)</f>
        <v>-625</v>
      </c>
      <c r="E69" s="243" t="s">
        <v>185</v>
      </c>
      <c r="F69" s="240">
        <f t="shared" si="1"/>
        <v>300129.42749999999</v>
      </c>
      <c r="G69" s="82"/>
      <c r="H69" s="77">
        <v>5540</v>
      </c>
      <c r="I69" s="78">
        <f>C69</f>
        <v>625</v>
      </c>
      <c r="J69" s="77"/>
      <c r="K69" s="38"/>
      <c r="L69" s="7"/>
      <c r="U69" s="61"/>
      <c r="V69" s="63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>
        <f>SUM(I69)</f>
        <v>625</v>
      </c>
      <c r="AO69" s="31"/>
      <c r="AP69" s="31"/>
      <c r="AQ69" s="31"/>
      <c r="AR69" s="31"/>
      <c r="AS69" s="31"/>
      <c r="AZ69" s="61">
        <f t="shared" si="12"/>
        <v>0</v>
      </c>
    </row>
    <row r="70" spans="1:52" ht="12.75" customHeight="1" x14ac:dyDescent="0.3">
      <c r="A70" s="8">
        <v>3</v>
      </c>
      <c r="B70" s="241" t="s">
        <v>162</v>
      </c>
      <c r="C70" s="242">
        <v>60</v>
      </c>
      <c r="D70" s="238">
        <f>SUM(C70*-1)</f>
        <v>-60</v>
      </c>
      <c r="E70" s="243">
        <v>43905</v>
      </c>
      <c r="F70" s="240">
        <f t="shared" si="1"/>
        <v>300069.42749999999</v>
      </c>
      <c r="G70" s="82"/>
      <c r="H70" s="77">
        <v>7850</v>
      </c>
      <c r="I70" s="78">
        <f>C70</f>
        <v>60</v>
      </c>
      <c r="J70" s="77"/>
      <c r="K70" s="38"/>
      <c r="L70" s="7"/>
      <c r="U70" s="61">
        <f>SUM(I70)</f>
        <v>60</v>
      </c>
      <c r="V70" s="63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Z70" s="61">
        <f t="shared" si="12"/>
        <v>0</v>
      </c>
    </row>
    <row r="71" spans="1:52" ht="12.75" customHeight="1" x14ac:dyDescent="0.3">
      <c r="A71" s="8">
        <v>3</v>
      </c>
      <c r="B71" s="244" t="s">
        <v>160</v>
      </c>
      <c r="C71" s="237">
        <v>1833.35</v>
      </c>
      <c r="D71" s="238">
        <f>SUM(C71*-1)</f>
        <v>-1833.35</v>
      </c>
      <c r="E71" s="243">
        <v>43906</v>
      </c>
      <c r="F71" s="240">
        <f t="shared" si="1"/>
        <v>298236.07750000001</v>
      </c>
      <c r="G71" s="82"/>
      <c r="H71" s="77">
        <v>6590</v>
      </c>
      <c r="I71" s="78">
        <f>C71</f>
        <v>1833.35</v>
      </c>
      <c r="J71" s="77"/>
      <c r="K71" s="38"/>
      <c r="L71" s="7"/>
      <c r="U71" s="61"/>
      <c r="V71" s="63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P71" s="31">
        <f>SUM(I71)</f>
        <v>1833.35</v>
      </c>
      <c r="AQ71" s="31"/>
      <c r="AR71" s="31"/>
      <c r="AS71" s="31"/>
      <c r="AZ71" s="61">
        <f t="shared" si="12"/>
        <v>0</v>
      </c>
    </row>
    <row r="72" spans="1:52" ht="12.75" customHeight="1" x14ac:dyDescent="0.3">
      <c r="A72" s="42">
        <v>3</v>
      </c>
      <c r="B72" s="255" t="s">
        <v>155</v>
      </c>
      <c r="C72" s="256">
        <v>13385</v>
      </c>
      <c r="D72" s="257">
        <v>-13385</v>
      </c>
      <c r="E72" s="259">
        <v>43895</v>
      </c>
      <c r="F72" s="240">
        <f t="shared" si="1"/>
        <v>284851.07750000001</v>
      </c>
      <c r="G72" s="82"/>
      <c r="H72" s="77">
        <v>8570</v>
      </c>
      <c r="I72" s="80">
        <v>1010</v>
      </c>
      <c r="J72" s="77" t="s">
        <v>207</v>
      </c>
      <c r="K72" s="38" t="s">
        <v>207</v>
      </c>
      <c r="L72" s="7">
        <v>8510</v>
      </c>
      <c r="M72" s="38">
        <v>10000</v>
      </c>
      <c r="N72" s="50">
        <v>8520</v>
      </c>
      <c r="O72" s="38">
        <v>750</v>
      </c>
      <c r="P72" s="50">
        <v>8530</v>
      </c>
      <c r="Q72" s="123">
        <v>1500</v>
      </c>
      <c r="R72" s="50">
        <v>8590</v>
      </c>
      <c r="S72" s="38">
        <v>125</v>
      </c>
      <c r="T72" s="51">
        <v>13385</v>
      </c>
      <c r="U72" s="61"/>
      <c r="V72" s="63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>
        <v>1010</v>
      </c>
      <c r="AH72" s="31">
        <v>10000</v>
      </c>
      <c r="AI72" s="31">
        <v>750</v>
      </c>
      <c r="AJ72" s="31">
        <v>1500</v>
      </c>
      <c r="AK72" s="31">
        <v>125</v>
      </c>
      <c r="AL72" s="31"/>
      <c r="AM72" s="31"/>
      <c r="AN72" s="31"/>
      <c r="AO72" s="31"/>
      <c r="AP72" s="31"/>
      <c r="AQ72" s="31"/>
      <c r="AR72" s="31"/>
      <c r="AS72" s="31"/>
      <c r="AZ72" s="61">
        <v>0</v>
      </c>
    </row>
    <row r="73" spans="1:52" ht="12.75" customHeight="1" x14ac:dyDescent="0.3">
      <c r="A73" s="142">
        <v>3</v>
      </c>
      <c r="B73" s="270" t="s">
        <v>360</v>
      </c>
      <c r="C73" s="271"/>
      <c r="D73" s="247">
        <v>-50000</v>
      </c>
      <c r="E73" s="248" t="s">
        <v>377</v>
      </c>
      <c r="F73" s="249">
        <f t="shared" si="1"/>
        <v>234851.07750000001</v>
      </c>
      <c r="G73" s="82"/>
      <c r="H73" s="77" t="s">
        <v>207</v>
      </c>
      <c r="I73" s="77" t="s">
        <v>207</v>
      </c>
      <c r="J73" s="77"/>
      <c r="K73" s="38"/>
      <c r="L73" s="7"/>
      <c r="U73" s="61"/>
      <c r="V73" s="63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Z73" s="61">
        <f t="shared" si="12"/>
        <v>0</v>
      </c>
    </row>
    <row r="74" spans="1:52" ht="12.75" customHeight="1" x14ac:dyDescent="0.3">
      <c r="A74" s="8">
        <v>3</v>
      </c>
      <c r="B74" s="241" t="s">
        <v>153</v>
      </c>
      <c r="C74" s="242">
        <v>100</v>
      </c>
      <c r="D74" s="238">
        <f t="shared" ref="D74:D107" si="13">SUM(C74*-1)</f>
        <v>-100</v>
      </c>
      <c r="E74" s="243">
        <v>43911</v>
      </c>
      <c r="F74" s="240">
        <f t="shared" ref="F74:F141" si="14">SUM(F73+D74)</f>
        <v>234751.07750000001</v>
      </c>
      <c r="G74" s="77"/>
      <c r="H74" s="77">
        <v>7850</v>
      </c>
      <c r="I74" s="78">
        <f>C74</f>
        <v>100</v>
      </c>
      <c r="J74" s="77"/>
      <c r="K74" s="38"/>
      <c r="L74" s="33"/>
      <c r="M74" s="8"/>
      <c r="U74" s="61">
        <f>SUM(I74)</f>
        <v>100</v>
      </c>
      <c r="V74" s="63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Z74" s="61">
        <f t="shared" si="12"/>
        <v>0</v>
      </c>
    </row>
    <row r="75" spans="1:52" ht="12.75" customHeight="1" x14ac:dyDescent="0.3">
      <c r="A75" s="8">
        <v>3</v>
      </c>
      <c r="B75" s="244" t="s">
        <v>266</v>
      </c>
      <c r="C75" s="242">
        <f>SUM('CCD - Mnthly Bills'!C20)</f>
        <v>1523.3625000000002</v>
      </c>
      <c r="D75" s="238">
        <f t="shared" si="13"/>
        <v>-1523.3625000000002</v>
      </c>
      <c r="E75" s="243" t="s">
        <v>267</v>
      </c>
      <c r="F75" s="240">
        <f t="shared" si="14"/>
        <v>233227.71500000003</v>
      </c>
      <c r="G75" s="77"/>
      <c r="H75" s="570" t="s">
        <v>264</v>
      </c>
      <c r="I75" s="570"/>
      <c r="J75" s="77"/>
      <c r="K75" s="38"/>
      <c r="L75" s="7"/>
      <c r="U75" s="61"/>
      <c r="V75" s="63"/>
      <c r="W75" s="31">
        <f>SUM(W41)</f>
        <v>104.73750000000001</v>
      </c>
      <c r="X75" s="31"/>
      <c r="Y75" s="31">
        <f>SUM(Y41)</f>
        <v>778.6875</v>
      </c>
      <c r="Z75" s="31"/>
      <c r="AA75" s="31">
        <f>SUM(AA41)</f>
        <v>375</v>
      </c>
      <c r="AB75" s="31"/>
      <c r="AC75" s="31"/>
      <c r="AD75" s="31">
        <f>SUM(AD41)</f>
        <v>90</v>
      </c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>
        <f>SUM(AQ41)</f>
        <v>111.1875</v>
      </c>
      <c r="AR75" s="31">
        <f>SUM(AR41)</f>
        <v>63.75</v>
      </c>
      <c r="AS75" s="31"/>
      <c r="AZ75" s="61">
        <f t="shared" si="12"/>
        <v>0</v>
      </c>
    </row>
    <row r="76" spans="1:52" ht="12.75" customHeight="1" x14ac:dyDescent="0.3">
      <c r="A76" s="8">
        <v>3</v>
      </c>
      <c r="B76" s="241" t="s">
        <v>150</v>
      </c>
      <c r="C76" s="242">
        <v>458.65</v>
      </c>
      <c r="D76" s="238">
        <f t="shared" si="13"/>
        <v>-458.65</v>
      </c>
      <c r="E76" s="243" t="s">
        <v>183</v>
      </c>
      <c r="F76" s="240">
        <f t="shared" si="14"/>
        <v>232769.06500000003</v>
      </c>
      <c r="G76" s="77"/>
      <c r="H76" s="77">
        <v>7910</v>
      </c>
      <c r="I76" s="78">
        <f t="shared" ref="I76:I85" si="15">C76</f>
        <v>458.65</v>
      </c>
      <c r="J76" s="77"/>
      <c r="K76" s="38"/>
      <c r="L76" s="7"/>
      <c r="U76" s="61"/>
      <c r="V76" s="63">
        <f>SUM(I76)</f>
        <v>458.65</v>
      </c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Z76" s="61">
        <f t="shared" si="12"/>
        <v>0</v>
      </c>
    </row>
    <row r="77" spans="1:52" ht="12.75" customHeight="1" x14ac:dyDescent="0.3">
      <c r="A77" s="8">
        <v>3</v>
      </c>
      <c r="B77" s="241" t="s">
        <v>279</v>
      </c>
      <c r="C77" s="242">
        <f>SUM('TS 2019_2020 Est Travel'!F40+'TS 2019_2020 Est Travel'!F41+'TS 2019_2020 Est Travel'!F38+'TS 2019_2020 Est Travel'!F35+'TS 2019_2020 Est Travel'!F34+'TS 2019_2020 Est Travel'!F32+'TS 2019_2020 Est Travel'!F31+'TS 2019_2020 Est Travel'!F30)</f>
        <v>2707.6</v>
      </c>
      <c r="D77" s="238">
        <f t="shared" si="13"/>
        <v>-2707.6</v>
      </c>
      <c r="E77" s="243" t="s">
        <v>290</v>
      </c>
      <c r="F77" s="240">
        <f t="shared" si="14"/>
        <v>230061.46500000003</v>
      </c>
      <c r="G77" s="77"/>
      <c r="H77" s="77"/>
      <c r="I77" s="78"/>
      <c r="J77" s="77"/>
      <c r="K77" s="38"/>
      <c r="L77" s="7"/>
      <c r="U77" s="61"/>
      <c r="V77" s="63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U77" s="31">
        <f>SUM(C77)</f>
        <v>2707.6</v>
      </c>
      <c r="AV77" s="31"/>
      <c r="AW77" s="31"/>
      <c r="AX77" s="31"/>
      <c r="AZ77" s="61">
        <f t="shared" si="12"/>
        <v>0</v>
      </c>
    </row>
    <row r="78" spans="1:52" ht="12.75" customHeight="1" x14ac:dyDescent="0.3">
      <c r="A78" s="8">
        <v>3</v>
      </c>
      <c r="B78" s="241" t="s">
        <v>148</v>
      </c>
      <c r="C78" s="242">
        <v>150</v>
      </c>
      <c r="D78" s="238">
        <f t="shared" si="13"/>
        <v>-150</v>
      </c>
      <c r="E78" s="243" t="s">
        <v>182</v>
      </c>
      <c r="F78" s="240">
        <f t="shared" si="14"/>
        <v>229911.46500000003</v>
      </c>
      <c r="G78" s="77"/>
      <c r="H78" s="77">
        <v>7950</v>
      </c>
      <c r="I78" s="78">
        <f t="shared" si="15"/>
        <v>150</v>
      </c>
      <c r="J78" s="77"/>
      <c r="K78" s="38"/>
      <c r="L78" s="7"/>
      <c r="U78" s="61"/>
      <c r="V78" s="63"/>
      <c r="W78" s="31">
        <f>SUM(I78)</f>
        <v>150</v>
      </c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Z78" s="61">
        <f t="shared" si="12"/>
        <v>0</v>
      </c>
    </row>
    <row r="79" spans="1:52" ht="12.75" customHeight="1" x14ac:dyDescent="0.3">
      <c r="A79" s="8">
        <v>3</v>
      </c>
      <c r="B79" s="241" t="s">
        <v>146</v>
      </c>
      <c r="C79" s="242">
        <v>149.99</v>
      </c>
      <c r="D79" s="238">
        <f t="shared" si="13"/>
        <v>-149.99</v>
      </c>
      <c r="E79" s="243">
        <v>43918</v>
      </c>
      <c r="F79" s="240">
        <f t="shared" si="14"/>
        <v>229761.47500000003</v>
      </c>
      <c r="G79" s="77"/>
      <c r="H79" s="77">
        <v>7950</v>
      </c>
      <c r="I79" s="78">
        <f t="shared" si="15"/>
        <v>149.99</v>
      </c>
      <c r="J79" s="77"/>
      <c r="K79" s="38"/>
      <c r="L79" s="7"/>
      <c r="U79" s="61"/>
      <c r="V79" s="63"/>
      <c r="W79" s="31">
        <f>SUM(I79)</f>
        <v>149.99</v>
      </c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Z79" s="61">
        <f t="shared" si="12"/>
        <v>0</v>
      </c>
    </row>
    <row r="80" spans="1:52" ht="12.75" customHeight="1" x14ac:dyDescent="0.3">
      <c r="A80" s="215">
        <v>3</v>
      </c>
      <c r="B80" s="250" t="s">
        <v>358</v>
      </c>
      <c r="C80" s="251">
        <v>71400</v>
      </c>
      <c r="D80" s="252">
        <f t="shared" si="13"/>
        <v>-71400</v>
      </c>
      <c r="E80" s="253">
        <v>43921</v>
      </c>
      <c r="F80" s="254">
        <f t="shared" si="14"/>
        <v>158361.47500000003</v>
      </c>
      <c r="G80" s="77"/>
      <c r="H80" s="77"/>
      <c r="I80" s="78"/>
      <c r="J80" s="77"/>
      <c r="K80" s="38"/>
      <c r="L80" s="7"/>
      <c r="U80" s="61"/>
      <c r="V80" s="63"/>
      <c r="W80" s="31"/>
      <c r="X80" s="31">
        <f>SUM(C80)</f>
        <v>71400</v>
      </c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Z80" s="61"/>
    </row>
    <row r="81" spans="1:52" ht="12.75" customHeight="1" x14ac:dyDescent="0.3">
      <c r="A81" s="8">
        <v>3</v>
      </c>
      <c r="B81" s="241" t="s">
        <v>144</v>
      </c>
      <c r="C81" s="242">
        <v>300</v>
      </c>
      <c r="D81" s="238">
        <f t="shared" si="13"/>
        <v>-300</v>
      </c>
      <c r="E81" s="243" t="s">
        <v>181</v>
      </c>
      <c r="F81" s="240">
        <f t="shared" si="14"/>
        <v>158061.47500000003</v>
      </c>
      <c r="G81" s="77"/>
      <c r="H81" s="77">
        <v>7950</v>
      </c>
      <c r="I81" s="78">
        <f t="shared" si="15"/>
        <v>300</v>
      </c>
      <c r="J81" s="77"/>
      <c r="K81" s="38"/>
      <c r="L81" s="7"/>
      <c r="U81" s="61"/>
      <c r="V81" s="63"/>
      <c r="W81" s="31">
        <f>SUM(I81)</f>
        <v>300</v>
      </c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Z81" s="61">
        <f t="shared" si="12"/>
        <v>0</v>
      </c>
    </row>
    <row r="82" spans="1:52" ht="12.75" customHeight="1" x14ac:dyDescent="0.3">
      <c r="A82" s="8">
        <v>3</v>
      </c>
      <c r="B82" s="244" t="s">
        <v>143</v>
      </c>
      <c r="C82" s="242">
        <v>75</v>
      </c>
      <c r="D82" s="238">
        <f t="shared" si="13"/>
        <v>-75</v>
      </c>
      <c r="E82" s="243" t="s">
        <v>181</v>
      </c>
      <c r="F82" s="240">
        <f t="shared" si="14"/>
        <v>157986.47500000003</v>
      </c>
      <c r="G82" s="77"/>
      <c r="H82" s="77">
        <v>7950</v>
      </c>
      <c r="I82" s="78">
        <f t="shared" si="15"/>
        <v>75</v>
      </c>
      <c r="J82" s="77"/>
      <c r="K82" s="38"/>
      <c r="L82" s="7"/>
      <c r="U82" s="61"/>
      <c r="V82" s="63"/>
      <c r="W82" s="31">
        <f>SUM(I82)</f>
        <v>75</v>
      </c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Z82" s="61">
        <f t="shared" si="12"/>
        <v>0</v>
      </c>
    </row>
    <row r="83" spans="1:52" ht="12.75" customHeight="1" x14ac:dyDescent="0.3">
      <c r="A83" s="8">
        <v>3</v>
      </c>
      <c r="B83" s="241" t="s">
        <v>142</v>
      </c>
      <c r="C83" s="242">
        <v>2500</v>
      </c>
      <c r="D83" s="238">
        <f t="shared" si="13"/>
        <v>-2500</v>
      </c>
      <c r="E83" s="243">
        <v>43921</v>
      </c>
      <c r="F83" s="240">
        <f t="shared" si="14"/>
        <v>155486.47500000003</v>
      </c>
      <c r="G83" s="77"/>
      <c r="H83" s="77">
        <v>5710</v>
      </c>
      <c r="I83" s="78">
        <f t="shared" si="15"/>
        <v>2500</v>
      </c>
      <c r="J83" s="77"/>
      <c r="K83" s="38"/>
      <c r="L83" s="7"/>
      <c r="U83" s="61"/>
      <c r="V83" s="63"/>
      <c r="W83" s="31"/>
      <c r="X83" s="31"/>
      <c r="Z83" s="31">
        <f>SUM(I83)</f>
        <v>2500</v>
      </c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Z83" s="61">
        <f t="shared" si="12"/>
        <v>0</v>
      </c>
    </row>
    <row r="84" spans="1:52" ht="12.75" customHeight="1" x14ac:dyDescent="0.3">
      <c r="A84" s="8">
        <v>3</v>
      </c>
      <c r="B84" s="241" t="s">
        <v>141</v>
      </c>
      <c r="C84" s="242">
        <v>1080</v>
      </c>
      <c r="D84" s="238">
        <f t="shared" si="13"/>
        <v>-1080</v>
      </c>
      <c r="E84" s="243">
        <v>43921</v>
      </c>
      <c r="F84" s="240">
        <f t="shared" si="14"/>
        <v>154406.47500000003</v>
      </c>
      <c r="G84" s="77"/>
      <c r="H84" s="77">
        <v>6730</v>
      </c>
      <c r="I84" s="78">
        <f t="shared" si="15"/>
        <v>1080</v>
      </c>
      <c r="J84" s="77"/>
      <c r="K84" s="38"/>
      <c r="L84" s="7"/>
      <c r="U84" s="61"/>
      <c r="V84" s="63"/>
      <c r="W84" s="31"/>
      <c r="X84" s="31">
        <f>SUM(I84)</f>
        <v>1080</v>
      </c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Z84" s="61">
        <f t="shared" si="12"/>
        <v>0</v>
      </c>
    </row>
    <row r="85" spans="1:52" ht="12.75" customHeight="1" thickBot="1" x14ac:dyDescent="0.35">
      <c r="A85" s="215">
        <v>3</v>
      </c>
      <c r="B85" s="250" t="s">
        <v>348</v>
      </c>
      <c r="C85" s="251">
        <v>5000</v>
      </c>
      <c r="D85" s="252">
        <f t="shared" si="13"/>
        <v>-5000</v>
      </c>
      <c r="E85" s="253" t="s">
        <v>374</v>
      </c>
      <c r="F85" s="254">
        <f t="shared" si="14"/>
        <v>149406.47500000003</v>
      </c>
      <c r="G85" s="77"/>
      <c r="H85" s="77">
        <v>5130</v>
      </c>
      <c r="I85" s="78">
        <f t="shared" si="15"/>
        <v>5000</v>
      </c>
      <c r="J85" s="77"/>
      <c r="K85" s="38"/>
      <c r="L85" s="7"/>
      <c r="U85" s="100"/>
      <c r="V85" s="99"/>
      <c r="W85" s="99"/>
      <c r="X85" s="99"/>
      <c r="Y85" s="99"/>
      <c r="Z85" s="99"/>
      <c r="AA85" s="99">
        <f>SUM(I85)</f>
        <v>5000</v>
      </c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73"/>
      <c r="AU85" s="73"/>
      <c r="AV85" s="73"/>
      <c r="AW85" s="73"/>
      <c r="AX85" s="73"/>
      <c r="AY85" s="73"/>
      <c r="AZ85" s="100">
        <f t="shared" si="12"/>
        <v>0</v>
      </c>
    </row>
    <row r="86" spans="1:52" ht="12.75" customHeight="1" x14ac:dyDescent="0.3">
      <c r="B86" s="241"/>
      <c r="C86" s="242"/>
      <c r="D86" s="238"/>
      <c r="E86" s="245" t="s">
        <v>284</v>
      </c>
      <c r="F86" s="240">
        <f t="shared" si="14"/>
        <v>149406.47500000003</v>
      </c>
      <c r="G86" s="77"/>
      <c r="H86" s="77"/>
      <c r="I86" s="78"/>
      <c r="J86" s="77"/>
      <c r="K86" s="38"/>
      <c r="L86" s="7"/>
      <c r="U86" s="107">
        <f t="shared" ref="U86:AY86" si="16">SUM(U53:U85)</f>
        <v>294.95</v>
      </c>
      <c r="V86" s="108">
        <f t="shared" si="16"/>
        <v>708.65</v>
      </c>
      <c r="W86" s="108">
        <f t="shared" si="16"/>
        <v>779.72749999999996</v>
      </c>
      <c r="X86" s="108">
        <f t="shared" si="16"/>
        <v>72480</v>
      </c>
      <c r="Y86" s="108">
        <f t="shared" si="16"/>
        <v>778.6875</v>
      </c>
      <c r="Z86" s="108">
        <f t="shared" si="16"/>
        <v>2500</v>
      </c>
      <c r="AA86" s="108">
        <f t="shared" si="16"/>
        <v>7375</v>
      </c>
      <c r="AB86" s="108">
        <f t="shared" si="16"/>
        <v>7500</v>
      </c>
      <c r="AC86" s="108">
        <f t="shared" si="16"/>
        <v>2350</v>
      </c>
      <c r="AD86" s="108">
        <f t="shared" si="16"/>
        <v>1674</v>
      </c>
      <c r="AE86" s="108">
        <f t="shared" si="16"/>
        <v>8333</v>
      </c>
      <c r="AF86" s="108">
        <f t="shared" si="16"/>
        <v>150</v>
      </c>
      <c r="AG86" s="108">
        <f t="shared" si="16"/>
        <v>2020</v>
      </c>
      <c r="AH86" s="108">
        <f t="shared" si="16"/>
        <v>20000</v>
      </c>
      <c r="AI86" s="108">
        <f t="shared" si="16"/>
        <v>1500</v>
      </c>
      <c r="AJ86" s="108">
        <f t="shared" si="16"/>
        <v>3000</v>
      </c>
      <c r="AK86" s="108">
        <f t="shared" si="16"/>
        <v>250</v>
      </c>
      <c r="AL86" s="108">
        <f t="shared" si="16"/>
        <v>0</v>
      </c>
      <c r="AM86" s="108">
        <f t="shared" si="16"/>
        <v>200</v>
      </c>
      <c r="AN86" s="108">
        <f t="shared" si="16"/>
        <v>625</v>
      </c>
      <c r="AO86" s="108">
        <f t="shared" si="16"/>
        <v>0</v>
      </c>
      <c r="AP86" s="108">
        <f t="shared" si="16"/>
        <v>1833.35</v>
      </c>
      <c r="AQ86" s="108">
        <f t="shared" si="16"/>
        <v>111.1875</v>
      </c>
      <c r="AR86" s="108">
        <f t="shared" si="16"/>
        <v>63.75</v>
      </c>
      <c r="AS86" s="108">
        <f t="shared" si="16"/>
        <v>0</v>
      </c>
      <c r="AT86" s="108">
        <f t="shared" si="16"/>
        <v>0</v>
      </c>
      <c r="AU86" s="108">
        <f t="shared" si="16"/>
        <v>2707.6</v>
      </c>
      <c r="AV86" s="108">
        <f t="shared" si="16"/>
        <v>800</v>
      </c>
      <c r="AW86" s="108">
        <f t="shared" si="16"/>
        <v>4500</v>
      </c>
      <c r="AX86" s="108">
        <f t="shared" si="16"/>
        <v>5000</v>
      </c>
      <c r="AY86" s="108">
        <f t="shared" si="16"/>
        <v>1750</v>
      </c>
      <c r="AZ86" s="61"/>
    </row>
    <row r="87" spans="1:52" ht="12.75" customHeight="1" x14ac:dyDescent="0.3">
      <c r="A87" s="403">
        <v>4</v>
      </c>
      <c r="B87" s="398" t="s">
        <v>388</v>
      </c>
      <c r="C87" s="399">
        <f>SUM(C53)</f>
        <v>5000</v>
      </c>
      <c r="D87" s="400">
        <f t="shared" ref="D87" si="17">SUM(C87*-1)</f>
        <v>-5000</v>
      </c>
      <c r="E87" s="401" t="s">
        <v>390</v>
      </c>
      <c r="F87" s="402">
        <f t="shared" si="14"/>
        <v>144406.47500000003</v>
      </c>
      <c r="G87" s="77"/>
      <c r="H87" s="77"/>
      <c r="I87" s="78"/>
      <c r="J87" s="77"/>
      <c r="K87" s="38"/>
      <c r="L87" s="7"/>
      <c r="U87" s="61"/>
      <c r="V87" s="63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X87" s="31">
        <f>SUM(C87)</f>
        <v>5000</v>
      </c>
      <c r="AZ87" s="61"/>
    </row>
    <row r="88" spans="1:52" ht="12.75" customHeight="1" x14ac:dyDescent="0.3">
      <c r="A88" s="8">
        <v>4</v>
      </c>
      <c r="B88" s="241" t="s">
        <v>177</v>
      </c>
      <c r="C88" s="242">
        <v>2000</v>
      </c>
      <c r="D88" s="238">
        <f t="shared" si="13"/>
        <v>-2000</v>
      </c>
      <c r="E88" s="243" t="s">
        <v>170</v>
      </c>
      <c r="F88" s="240">
        <f t="shared" si="14"/>
        <v>142406.47500000003</v>
      </c>
      <c r="G88" s="77"/>
      <c r="H88" s="77"/>
      <c r="I88" s="78"/>
      <c r="J88" s="77"/>
      <c r="K88" s="38"/>
      <c r="L88" s="7"/>
      <c r="U88" s="61"/>
      <c r="V88" s="63">
        <v>250</v>
      </c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Y88" s="63">
        <v>1750</v>
      </c>
      <c r="AZ88" s="61">
        <f t="shared" si="12"/>
        <v>0</v>
      </c>
    </row>
    <row r="89" spans="1:52" s="405" customFormat="1" ht="12.75" customHeight="1" x14ac:dyDescent="0.3">
      <c r="A89" s="215">
        <v>4</v>
      </c>
      <c r="B89" s="479" t="s">
        <v>398</v>
      </c>
      <c r="C89" s="251">
        <v>2000</v>
      </c>
      <c r="D89" s="252">
        <f t="shared" ref="D89:D90" si="18">SUM(C89*-1)</f>
        <v>-2000</v>
      </c>
      <c r="E89" s="480" t="s">
        <v>397</v>
      </c>
      <c r="F89" s="254">
        <f t="shared" si="14"/>
        <v>140406.47500000003</v>
      </c>
      <c r="G89" s="77"/>
      <c r="H89" s="77"/>
      <c r="I89" s="78"/>
      <c r="J89" s="77"/>
      <c r="K89" s="38"/>
      <c r="L89" s="7"/>
      <c r="M89" s="7"/>
      <c r="N89" s="7"/>
      <c r="O89" s="7"/>
      <c r="P89" s="7"/>
      <c r="Q89" s="7"/>
      <c r="R89" s="7"/>
      <c r="S89" s="7"/>
      <c r="T89" s="7"/>
      <c r="U89" s="61"/>
      <c r="V89" s="63"/>
      <c r="W89" s="31"/>
      <c r="X89" s="31"/>
      <c r="Y89" s="31"/>
      <c r="Z89" s="31"/>
      <c r="AA89" s="31">
        <f>SUM(C89)</f>
        <v>2000</v>
      </c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7"/>
      <c r="AU89" s="7"/>
      <c r="AV89" s="7"/>
      <c r="AW89" s="7"/>
      <c r="AX89" s="7"/>
      <c r="AY89" s="63"/>
      <c r="AZ89" s="61"/>
    </row>
    <row r="90" spans="1:52" s="405" customFormat="1" ht="12.75" customHeight="1" x14ac:dyDescent="0.3">
      <c r="A90" s="215">
        <v>4</v>
      </c>
      <c r="B90" s="479" t="s">
        <v>401</v>
      </c>
      <c r="C90" s="251">
        <v>800</v>
      </c>
      <c r="D90" s="252">
        <f t="shared" si="18"/>
        <v>-800</v>
      </c>
      <c r="E90" s="480" t="s">
        <v>402</v>
      </c>
      <c r="F90" s="254">
        <f t="shared" si="14"/>
        <v>139606.47500000003</v>
      </c>
      <c r="G90" s="77"/>
      <c r="H90" s="77"/>
      <c r="I90" s="78"/>
      <c r="J90" s="77"/>
      <c r="K90" s="38"/>
      <c r="L90" s="7"/>
      <c r="M90" s="7"/>
      <c r="N90" s="7"/>
      <c r="O90" s="7"/>
      <c r="P90" s="7"/>
      <c r="Q90" s="7"/>
      <c r="R90" s="7"/>
      <c r="S90" s="7"/>
      <c r="T90" s="7"/>
      <c r="U90" s="61"/>
      <c r="V90" s="63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7"/>
      <c r="AU90" s="7"/>
      <c r="AV90" s="31">
        <f>SUM(C90)</f>
        <v>800</v>
      </c>
      <c r="AW90" s="7"/>
      <c r="AX90" s="7"/>
      <c r="AY90" s="63"/>
      <c r="AZ90" s="61"/>
    </row>
    <row r="91" spans="1:52" ht="12.75" customHeight="1" x14ac:dyDescent="0.3">
      <c r="A91" s="8">
        <v>4</v>
      </c>
      <c r="B91" s="241" t="s">
        <v>176</v>
      </c>
      <c r="C91" s="242">
        <v>7500</v>
      </c>
      <c r="D91" s="238">
        <f t="shared" si="13"/>
        <v>-7500</v>
      </c>
      <c r="E91" s="243" t="s">
        <v>170</v>
      </c>
      <c r="F91" s="478">
        <f t="shared" si="14"/>
        <v>132106.47500000003</v>
      </c>
      <c r="G91" s="77"/>
      <c r="H91" s="77">
        <v>5510</v>
      </c>
      <c r="I91" s="78">
        <f>C91</f>
        <v>7500</v>
      </c>
      <c r="J91" s="77"/>
      <c r="K91" s="38"/>
      <c r="L91" s="7"/>
      <c r="U91" s="61"/>
      <c r="V91" s="63"/>
      <c r="W91" s="31"/>
      <c r="X91" s="31"/>
      <c r="Y91" s="31"/>
      <c r="Z91" s="31"/>
      <c r="AA91" s="31"/>
      <c r="AB91" s="31">
        <f>SUM(I91)</f>
        <v>7500</v>
      </c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Z91" s="61">
        <f t="shared" si="12"/>
        <v>0</v>
      </c>
    </row>
    <row r="92" spans="1:52" ht="12.75" customHeight="1" x14ac:dyDescent="0.3">
      <c r="A92" s="8">
        <v>4</v>
      </c>
      <c r="B92" s="241" t="s">
        <v>175</v>
      </c>
      <c r="C92" s="242">
        <v>550</v>
      </c>
      <c r="D92" s="238">
        <f t="shared" si="13"/>
        <v>-550</v>
      </c>
      <c r="E92" s="243" t="s">
        <v>170</v>
      </c>
      <c r="F92" s="240">
        <f t="shared" si="14"/>
        <v>131556.47500000003</v>
      </c>
      <c r="G92" s="77"/>
      <c r="H92" s="77">
        <v>7650</v>
      </c>
      <c r="I92" s="78">
        <f>C92</f>
        <v>550</v>
      </c>
      <c r="J92" s="77"/>
      <c r="K92" s="38"/>
      <c r="L92" s="7"/>
      <c r="U92" s="61"/>
      <c r="V92" s="63"/>
      <c r="W92" s="31"/>
      <c r="X92" s="31"/>
      <c r="Y92" s="31"/>
      <c r="Z92" s="31"/>
      <c r="AA92" s="31"/>
      <c r="AB92" s="31"/>
      <c r="AC92" s="31">
        <f>SUM(I92)</f>
        <v>550</v>
      </c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Z92" s="61">
        <f t="shared" si="12"/>
        <v>0</v>
      </c>
    </row>
    <row r="93" spans="1:52" ht="12.75" customHeight="1" x14ac:dyDescent="0.3">
      <c r="A93" s="8">
        <v>4</v>
      </c>
      <c r="B93" s="241" t="s">
        <v>174</v>
      </c>
      <c r="C93" s="242">
        <v>1800</v>
      </c>
      <c r="D93" s="238">
        <f t="shared" si="13"/>
        <v>-1800</v>
      </c>
      <c r="E93" s="243" t="s">
        <v>173</v>
      </c>
      <c r="F93" s="240">
        <f t="shared" si="14"/>
        <v>129756.47500000003</v>
      </c>
      <c r="G93" s="77"/>
      <c r="H93" s="77">
        <v>7650</v>
      </c>
      <c r="I93" s="78">
        <f>C93</f>
        <v>1800</v>
      </c>
      <c r="J93" s="77"/>
      <c r="K93" s="38"/>
      <c r="L93" s="7"/>
      <c r="U93" s="61"/>
      <c r="V93" s="63"/>
      <c r="W93" s="31"/>
      <c r="X93" s="31"/>
      <c r="Y93" s="31"/>
      <c r="Z93" s="31"/>
      <c r="AA93" s="31"/>
      <c r="AB93" s="31"/>
      <c r="AC93" s="31">
        <f>SUM(I93)</f>
        <v>1800</v>
      </c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Z93" s="61">
        <f t="shared" si="12"/>
        <v>0</v>
      </c>
    </row>
    <row r="94" spans="1:52" ht="12.75" customHeight="1" x14ac:dyDescent="0.3">
      <c r="A94" s="8">
        <v>4</v>
      </c>
      <c r="B94" s="241" t="s">
        <v>172</v>
      </c>
      <c r="C94" s="242">
        <v>9917</v>
      </c>
      <c r="D94" s="238">
        <f t="shared" si="13"/>
        <v>-9917</v>
      </c>
      <c r="E94" s="243" t="s">
        <v>170</v>
      </c>
      <c r="F94" s="240">
        <f t="shared" si="14"/>
        <v>119839.47500000003</v>
      </c>
      <c r="G94" s="77"/>
      <c r="H94" s="77">
        <v>5750</v>
      </c>
      <c r="I94" s="80">
        <v>1584</v>
      </c>
      <c r="J94" s="77">
        <v>5520</v>
      </c>
      <c r="K94" s="38">
        <v>8333</v>
      </c>
      <c r="L94" s="7"/>
      <c r="U94" s="61"/>
      <c r="V94" s="63"/>
      <c r="W94" s="31"/>
      <c r="X94" s="31"/>
      <c r="Y94" s="31"/>
      <c r="Z94" s="31"/>
      <c r="AA94" s="31"/>
      <c r="AB94" s="31"/>
      <c r="AC94" s="31"/>
      <c r="AD94" s="31">
        <f>SUM(I94)</f>
        <v>1584</v>
      </c>
      <c r="AE94" s="31">
        <f>SUM(K94)</f>
        <v>8333</v>
      </c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Z94" s="61">
        <f t="shared" si="12"/>
        <v>0</v>
      </c>
    </row>
    <row r="95" spans="1:52" ht="12.75" customHeight="1" x14ac:dyDescent="0.3">
      <c r="A95" s="8">
        <v>4</v>
      </c>
      <c r="B95" s="241" t="s">
        <v>171</v>
      </c>
      <c r="C95" s="242">
        <v>34.950000000000003</v>
      </c>
      <c r="D95" s="238">
        <f t="shared" si="13"/>
        <v>-34.950000000000003</v>
      </c>
      <c r="E95" s="243" t="s">
        <v>170</v>
      </c>
      <c r="F95" s="240">
        <f t="shared" si="14"/>
        <v>119804.52500000004</v>
      </c>
      <c r="G95" s="77"/>
      <c r="H95" s="77">
        <v>7850</v>
      </c>
      <c r="I95" s="78">
        <f>C95</f>
        <v>34.950000000000003</v>
      </c>
      <c r="J95" s="77"/>
      <c r="K95" s="38"/>
      <c r="L95" s="7"/>
      <c r="U95" s="61">
        <f>SUM(I95)</f>
        <v>34.950000000000003</v>
      </c>
      <c r="V95" s="63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Z95" s="61">
        <f t="shared" si="12"/>
        <v>0</v>
      </c>
    </row>
    <row r="96" spans="1:52" ht="12.75" customHeight="1" x14ac:dyDescent="0.3">
      <c r="A96" s="8">
        <v>4</v>
      </c>
      <c r="B96" s="241" t="s">
        <v>169</v>
      </c>
      <c r="C96" s="242">
        <v>150</v>
      </c>
      <c r="D96" s="238">
        <f t="shared" si="13"/>
        <v>-150</v>
      </c>
      <c r="E96" s="243" t="s">
        <v>168</v>
      </c>
      <c r="F96" s="240">
        <f t="shared" si="14"/>
        <v>119654.52500000004</v>
      </c>
      <c r="G96" s="77"/>
      <c r="H96" s="77">
        <v>7090</v>
      </c>
      <c r="I96" s="78">
        <f>C96</f>
        <v>150</v>
      </c>
      <c r="J96" s="77"/>
      <c r="K96" s="38"/>
      <c r="L96" s="7"/>
      <c r="U96" s="61"/>
      <c r="V96" s="63"/>
      <c r="W96" s="31"/>
      <c r="X96" s="31"/>
      <c r="Y96" s="31"/>
      <c r="Z96" s="31"/>
      <c r="AA96" s="31"/>
      <c r="AB96" s="31"/>
      <c r="AC96" s="31"/>
      <c r="AD96" s="31"/>
      <c r="AE96" s="31"/>
      <c r="AF96" s="31">
        <f>SUM(I96)</f>
        <v>150</v>
      </c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Z96" s="61">
        <f t="shared" si="12"/>
        <v>0</v>
      </c>
    </row>
    <row r="97" spans="1:52" ht="12.75" customHeight="1" x14ac:dyDescent="0.3">
      <c r="A97" s="8">
        <v>4</v>
      </c>
      <c r="B97" s="241" t="s">
        <v>155</v>
      </c>
      <c r="C97" s="242">
        <v>13385</v>
      </c>
      <c r="D97" s="238">
        <v>-13385</v>
      </c>
      <c r="E97" s="243">
        <v>43895</v>
      </c>
      <c r="F97" s="240">
        <f t="shared" si="14"/>
        <v>106269.52500000004</v>
      </c>
      <c r="G97" s="77"/>
      <c r="H97" s="77">
        <v>8570</v>
      </c>
      <c r="I97" s="80">
        <v>1010</v>
      </c>
      <c r="J97" s="77" t="s">
        <v>207</v>
      </c>
      <c r="K97" s="38" t="s">
        <v>207</v>
      </c>
      <c r="L97" s="7">
        <v>8510</v>
      </c>
      <c r="M97" s="38">
        <v>10000</v>
      </c>
      <c r="N97" s="50">
        <v>8520</v>
      </c>
      <c r="O97" s="38">
        <v>750</v>
      </c>
      <c r="P97" s="50">
        <v>8530</v>
      </c>
      <c r="Q97" s="123">
        <v>1500</v>
      </c>
      <c r="R97" s="50">
        <v>8590</v>
      </c>
      <c r="S97" s="38">
        <v>125</v>
      </c>
      <c r="T97" s="51">
        <v>13385</v>
      </c>
      <c r="U97" s="61"/>
      <c r="V97" s="63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>
        <v>1010</v>
      </c>
      <c r="AH97" s="31">
        <v>10000</v>
      </c>
      <c r="AI97" s="31">
        <v>750</v>
      </c>
      <c r="AJ97" s="31">
        <v>1500</v>
      </c>
      <c r="AK97" s="31">
        <v>125</v>
      </c>
      <c r="AL97" s="31"/>
      <c r="AM97" s="31"/>
      <c r="AN97" s="31"/>
      <c r="AO97" s="31"/>
      <c r="AP97" s="31"/>
      <c r="AQ97" s="31"/>
      <c r="AR97" s="31"/>
      <c r="AS97" s="31"/>
      <c r="AZ97" s="61">
        <v>0</v>
      </c>
    </row>
    <row r="98" spans="1:52" ht="12.75" customHeight="1" x14ac:dyDescent="0.3">
      <c r="A98" s="8">
        <v>4</v>
      </c>
      <c r="B98" s="241" t="s">
        <v>153</v>
      </c>
      <c r="C98" s="242">
        <v>100</v>
      </c>
      <c r="D98" s="238">
        <f t="shared" si="13"/>
        <v>-100</v>
      </c>
      <c r="E98" s="243" t="s">
        <v>166</v>
      </c>
      <c r="F98" s="240">
        <f t="shared" si="14"/>
        <v>106169.52500000004</v>
      </c>
      <c r="G98" s="77"/>
      <c r="H98" s="77">
        <v>7850</v>
      </c>
      <c r="I98" s="78">
        <f t="shared" ref="I98:I103" si="19">C98</f>
        <v>100</v>
      </c>
      <c r="J98" s="77"/>
      <c r="K98" s="38"/>
      <c r="L98" s="7"/>
      <c r="U98" s="61">
        <f>SUM(I98)</f>
        <v>100</v>
      </c>
      <c r="V98" s="63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Z98" s="61">
        <f t="shared" si="12"/>
        <v>0</v>
      </c>
    </row>
    <row r="99" spans="1:52" ht="12.75" customHeight="1" x14ac:dyDescent="0.3">
      <c r="A99" s="8">
        <v>4</v>
      </c>
      <c r="B99" s="241" t="s">
        <v>165</v>
      </c>
      <c r="C99" s="242">
        <v>200</v>
      </c>
      <c r="D99" s="238">
        <f t="shared" si="13"/>
        <v>-200</v>
      </c>
      <c r="E99" s="243" t="s">
        <v>161</v>
      </c>
      <c r="F99" s="240">
        <f t="shared" si="14"/>
        <v>105969.52500000004</v>
      </c>
      <c r="G99" s="77"/>
      <c r="H99" s="77">
        <v>6770</v>
      </c>
      <c r="I99" s="78">
        <f t="shared" si="19"/>
        <v>200</v>
      </c>
      <c r="J99" s="77"/>
      <c r="K99" s="38"/>
      <c r="L99" s="7"/>
      <c r="U99" s="61"/>
      <c r="V99" s="63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>
        <f>SUM(I99)</f>
        <v>200</v>
      </c>
      <c r="AN99" s="31"/>
      <c r="AO99" s="31"/>
      <c r="AP99" s="31"/>
      <c r="AQ99" s="31"/>
      <c r="AR99" s="31"/>
      <c r="AS99" s="31"/>
      <c r="AZ99" s="61">
        <f t="shared" si="12"/>
        <v>0</v>
      </c>
    </row>
    <row r="100" spans="1:52" ht="12.75" customHeight="1" x14ac:dyDescent="0.3">
      <c r="A100" s="8">
        <v>4</v>
      </c>
      <c r="B100" s="244" t="s">
        <v>164</v>
      </c>
      <c r="C100" s="242">
        <v>625</v>
      </c>
      <c r="D100" s="238">
        <f t="shared" si="13"/>
        <v>-625</v>
      </c>
      <c r="E100" s="243" t="s">
        <v>163</v>
      </c>
      <c r="F100" s="240">
        <f t="shared" si="14"/>
        <v>105344.52500000004</v>
      </c>
      <c r="G100" s="77"/>
      <c r="H100" s="77">
        <v>5540</v>
      </c>
      <c r="I100" s="78">
        <f t="shared" si="19"/>
        <v>625</v>
      </c>
      <c r="J100" s="77"/>
      <c r="K100" s="38"/>
      <c r="L100" s="7"/>
      <c r="U100" s="61"/>
      <c r="V100" s="63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>
        <f>SUM(I100)</f>
        <v>625</v>
      </c>
      <c r="AO100" s="31"/>
      <c r="AP100" s="31"/>
      <c r="AQ100" s="31"/>
      <c r="AR100" s="31"/>
      <c r="AS100" s="31"/>
      <c r="AZ100" s="61">
        <f t="shared" si="12"/>
        <v>0</v>
      </c>
    </row>
    <row r="101" spans="1:52" ht="12.75" customHeight="1" x14ac:dyDescent="0.3">
      <c r="A101" s="8">
        <v>4</v>
      </c>
      <c r="B101" s="241" t="s">
        <v>162</v>
      </c>
      <c r="C101" s="242">
        <v>60</v>
      </c>
      <c r="D101" s="238">
        <f t="shared" si="13"/>
        <v>-60</v>
      </c>
      <c r="E101" s="243" t="s">
        <v>161</v>
      </c>
      <c r="F101" s="240">
        <f t="shared" si="14"/>
        <v>105284.52500000004</v>
      </c>
      <c r="G101" s="77"/>
      <c r="H101" s="77">
        <v>7850</v>
      </c>
      <c r="I101" s="78">
        <f t="shared" si="19"/>
        <v>60</v>
      </c>
      <c r="J101" s="77"/>
      <c r="K101" s="38"/>
      <c r="L101" s="7"/>
      <c r="U101" s="61">
        <f>SUM(I101)</f>
        <v>60</v>
      </c>
      <c r="V101" s="63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Z101" s="61">
        <f t="shared" si="12"/>
        <v>0</v>
      </c>
    </row>
    <row r="102" spans="1:52" ht="12.75" customHeight="1" x14ac:dyDescent="0.3">
      <c r="A102" s="8">
        <v>4</v>
      </c>
      <c r="B102" s="244" t="s">
        <v>160</v>
      </c>
      <c r="C102" s="237">
        <v>1833.35</v>
      </c>
      <c r="D102" s="238">
        <f t="shared" si="13"/>
        <v>-1833.35</v>
      </c>
      <c r="E102" s="243" t="s">
        <v>159</v>
      </c>
      <c r="F102" s="240">
        <f t="shared" si="14"/>
        <v>103451.17500000003</v>
      </c>
      <c r="G102" s="79"/>
      <c r="H102" s="77">
        <v>6590</v>
      </c>
      <c r="I102" s="78">
        <f t="shared" si="19"/>
        <v>1833.35</v>
      </c>
      <c r="J102" s="77"/>
      <c r="K102" s="38"/>
      <c r="L102" s="7"/>
      <c r="U102" s="61"/>
      <c r="V102" s="63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P102" s="31">
        <f>SUM(I102)</f>
        <v>1833.35</v>
      </c>
      <c r="AQ102" s="31"/>
      <c r="AR102" s="31"/>
      <c r="AS102" s="31"/>
      <c r="AZ102" s="61">
        <f t="shared" si="12"/>
        <v>0</v>
      </c>
    </row>
    <row r="103" spans="1:52" ht="12.75" customHeight="1" x14ac:dyDescent="0.3">
      <c r="A103" s="8">
        <v>4</v>
      </c>
      <c r="B103" s="244" t="s">
        <v>369</v>
      </c>
      <c r="C103" s="237">
        <v>1500</v>
      </c>
      <c r="D103" s="238">
        <f t="shared" si="13"/>
        <v>-1500</v>
      </c>
      <c r="E103" s="243">
        <v>43939</v>
      </c>
      <c r="F103" s="240">
        <f t="shared" si="14"/>
        <v>101951.17500000003</v>
      </c>
      <c r="G103" s="79"/>
      <c r="H103" s="77"/>
      <c r="I103" s="78">
        <f t="shared" si="19"/>
        <v>1500</v>
      </c>
      <c r="J103" s="77"/>
      <c r="K103" s="38"/>
      <c r="L103" s="7"/>
      <c r="U103" s="61"/>
      <c r="V103" s="63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P103" s="31"/>
      <c r="AQ103" s="31"/>
      <c r="AR103" s="31"/>
      <c r="AS103" s="31"/>
      <c r="AY103" s="63">
        <v>1500</v>
      </c>
      <c r="AZ103" s="61">
        <f t="shared" si="12"/>
        <v>0</v>
      </c>
    </row>
    <row r="104" spans="1:52" ht="12.75" customHeight="1" x14ac:dyDescent="0.3">
      <c r="A104" s="8">
        <v>4</v>
      </c>
      <c r="B104" s="241" t="s">
        <v>155</v>
      </c>
      <c r="C104" s="242">
        <v>13385</v>
      </c>
      <c r="D104" s="238">
        <v>-13385</v>
      </c>
      <c r="E104" s="243">
        <v>43895</v>
      </c>
      <c r="F104" s="240">
        <f t="shared" si="14"/>
        <v>88566.175000000032</v>
      </c>
      <c r="G104" s="77"/>
      <c r="H104" s="77">
        <v>8570</v>
      </c>
      <c r="I104" s="80">
        <v>1010</v>
      </c>
      <c r="J104" s="77" t="s">
        <v>207</v>
      </c>
      <c r="K104" s="38" t="s">
        <v>207</v>
      </c>
      <c r="L104" s="7">
        <v>8510</v>
      </c>
      <c r="M104" s="38">
        <v>10000</v>
      </c>
      <c r="N104" s="50">
        <v>8520</v>
      </c>
      <c r="O104" s="38">
        <v>750</v>
      </c>
      <c r="P104" s="50">
        <v>8530</v>
      </c>
      <c r="Q104" s="123">
        <v>1500</v>
      </c>
      <c r="R104" s="50">
        <v>8590</v>
      </c>
      <c r="S104" s="38">
        <v>125</v>
      </c>
      <c r="T104" s="51">
        <v>13385</v>
      </c>
      <c r="U104" s="61"/>
      <c r="V104" s="63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>
        <v>1010</v>
      </c>
      <c r="AH104" s="31">
        <v>10000</v>
      </c>
      <c r="AI104" s="31">
        <v>750</v>
      </c>
      <c r="AJ104" s="31">
        <v>1500</v>
      </c>
      <c r="AK104" s="31">
        <v>125</v>
      </c>
      <c r="AL104" s="31"/>
      <c r="AM104" s="31"/>
      <c r="AN104" s="31"/>
      <c r="AO104" s="31"/>
      <c r="AP104" s="31"/>
      <c r="AQ104" s="31"/>
      <c r="AR104" s="31"/>
      <c r="AS104" s="31"/>
      <c r="AZ104" s="61">
        <v>0</v>
      </c>
    </row>
    <row r="105" spans="1:52" ht="12.75" customHeight="1" x14ac:dyDescent="0.3">
      <c r="A105" s="8">
        <v>4</v>
      </c>
      <c r="B105" s="241" t="s">
        <v>153</v>
      </c>
      <c r="C105" s="242">
        <v>100</v>
      </c>
      <c r="D105" s="238">
        <f t="shared" si="13"/>
        <v>-100</v>
      </c>
      <c r="E105" s="243" t="s">
        <v>152</v>
      </c>
      <c r="F105" s="240">
        <f t="shared" si="14"/>
        <v>88466.175000000032</v>
      </c>
      <c r="G105" s="77"/>
      <c r="H105" s="77">
        <v>7850</v>
      </c>
      <c r="I105" s="78">
        <f>C105</f>
        <v>100</v>
      </c>
      <c r="J105" s="77"/>
      <c r="K105" s="38"/>
      <c r="L105" s="7"/>
      <c r="U105" s="61">
        <f>SUM(I105)</f>
        <v>100</v>
      </c>
      <c r="V105" s="63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Z105" s="61">
        <f t="shared" si="12"/>
        <v>0</v>
      </c>
    </row>
    <row r="106" spans="1:52" ht="12.75" customHeight="1" x14ac:dyDescent="0.3">
      <c r="A106" s="8">
        <v>4</v>
      </c>
      <c r="B106" s="244" t="s">
        <v>266</v>
      </c>
      <c r="C106" s="242">
        <f>SUM('CCD - Mnthly Bills'!C20)</f>
        <v>1523.3625000000002</v>
      </c>
      <c r="D106" s="238">
        <f t="shared" si="13"/>
        <v>-1523.3625000000002</v>
      </c>
      <c r="E106" s="243" t="s">
        <v>151</v>
      </c>
      <c r="F106" s="240">
        <f t="shared" si="14"/>
        <v>86942.812500000029</v>
      </c>
      <c r="G106" s="77"/>
      <c r="H106" s="570" t="s">
        <v>264</v>
      </c>
      <c r="I106" s="570"/>
      <c r="J106" s="77"/>
      <c r="K106" s="38"/>
      <c r="L106" s="7"/>
      <c r="U106" s="61"/>
      <c r="V106" s="63"/>
      <c r="W106" s="31">
        <f>SUM(W75)</f>
        <v>104.73750000000001</v>
      </c>
      <c r="X106" s="31"/>
      <c r="Y106" s="31">
        <f>SUM(Y75)</f>
        <v>778.6875</v>
      </c>
      <c r="Z106" s="31"/>
      <c r="AA106" s="31">
        <f>SUM(AA75)</f>
        <v>375</v>
      </c>
      <c r="AB106" s="31"/>
      <c r="AC106" s="31"/>
      <c r="AD106" s="31">
        <f>SUM(AD75)</f>
        <v>90</v>
      </c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>
        <f>SUM(AQ75)</f>
        <v>111.1875</v>
      </c>
      <c r="AR106" s="31">
        <f>SUM(AR75)</f>
        <v>63.75</v>
      </c>
      <c r="AS106" s="31"/>
      <c r="AZ106" s="61">
        <f t="shared" si="12"/>
        <v>0</v>
      </c>
    </row>
    <row r="107" spans="1:52" ht="12.75" customHeight="1" x14ac:dyDescent="0.3">
      <c r="A107" s="8">
        <v>4</v>
      </c>
      <c r="B107" s="241" t="s">
        <v>150</v>
      </c>
      <c r="C107" s="242">
        <v>458.65</v>
      </c>
      <c r="D107" s="238">
        <f t="shared" si="13"/>
        <v>-458.65</v>
      </c>
      <c r="E107" s="243" t="s">
        <v>149</v>
      </c>
      <c r="F107" s="240">
        <f t="shared" si="14"/>
        <v>86484.162500000035</v>
      </c>
      <c r="G107" s="77"/>
      <c r="H107" s="77">
        <v>7910</v>
      </c>
      <c r="I107" s="78">
        <f>C107</f>
        <v>458.65</v>
      </c>
      <c r="J107" s="77"/>
      <c r="K107" s="38"/>
      <c r="L107" s="7"/>
      <c r="U107" s="61"/>
      <c r="V107" s="63">
        <f>SUM(I107)</f>
        <v>458.65</v>
      </c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Z107" s="61">
        <f t="shared" si="12"/>
        <v>0</v>
      </c>
    </row>
    <row r="108" spans="1:52" ht="12.75" customHeight="1" x14ac:dyDescent="0.3">
      <c r="A108" s="135">
        <v>4</v>
      </c>
      <c r="B108" s="265" t="s">
        <v>157</v>
      </c>
      <c r="C108" s="272"/>
      <c r="D108" s="273">
        <v>40630.800000000003</v>
      </c>
      <c r="E108" s="268" t="s">
        <v>179</v>
      </c>
      <c r="F108" s="269">
        <f t="shared" si="14"/>
        <v>127114.96250000004</v>
      </c>
      <c r="G108" s="77"/>
      <c r="H108" s="77" t="s">
        <v>207</v>
      </c>
      <c r="I108" s="77" t="s">
        <v>207</v>
      </c>
      <c r="J108" s="77"/>
      <c r="K108" s="38"/>
      <c r="L108" s="7"/>
      <c r="U108" s="61"/>
      <c r="V108" s="63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Z108" s="61">
        <f t="shared" si="12"/>
        <v>0</v>
      </c>
    </row>
    <row r="109" spans="1:52" ht="12.75" customHeight="1" x14ac:dyDescent="0.3">
      <c r="A109" s="8">
        <v>4</v>
      </c>
      <c r="B109" s="241" t="s">
        <v>148</v>
      </c>
      <c r="C109" s="242">
        <v>150</v>
      </c>
      <c r="D109" s="238">
        <f t="shared" ref="D109:D160" si="20">SUM(C109*-1)</f>
        <v>-150</v>
      </c>
      <c r="E109" s="243" t="s">
        <v>147</v>
      </c>
      <c r="F109" s="240">
        <f t="shared" si="14"/>
        <v>126964.96250000004</v>
      </c>
      <c r="G109" s="77"/>
      <c r="H109" s="77">
        <v>7950</v>
      </c>
      <c r="I109" s="78">
        <f t="shared" ref="I109:I115" si="21">C109</f>
        <v>150</v>
      </c>
      <c r="J109" s="77"/>
      <c r="K109" s="38"/>
      <c r="L109" s="7"/>
      <c r="U109" s="61"/>
      <c r="V109" s="63"/>
      <c r="W109" s="31">
        <f>SUM(I109)</f>
        <v>150</v>
      </c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Z109" s="61">
        <f t="shared" si="12"/>
        <v>0</v>
      </c>
    </row>
    <row r="110" spans="1:52" ht="12.75" customHeight="1" x14ac:dyDescent="0.3">
      <c r="A110" s="8">
        <v>4</v>
      </c>
      <c r="B110" s="241" t="s">
        <v>146</v>
      </c>
      <c r="C110" s="242">
        <v>149.99</v>
      </c>
      <c r="D110" s="238">
        <f t="shared" si="20"/>
        <v>-149.99</v>
      </c>
      <c r="E110" s="243" t="s">
        <v>145</v>
      </c>
      <c r="F110" s="240">
        <f t="shared" si="14"/>
        <v>126814.97250000003</v>
      </c>
      <c r="G110" s="77"/>
      <c r="H110" s="77">
        <v>7950</v>
      </c>
      <c r="I110" s="78">
        <f t="shared" si="21"/>
        <v>149.99</v>
      </c>
      <c r="J110" s="77"/>
      <c r="K110" s="38"/>
      <c r="L110" s="7"/>
      <c r="U110" s="61"/>
      <c r="V110" s="63"/>
      <c r="W110" s="31">
        <f>SUM(I110)</f>
        <v>149.99</v>
      </c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Z110" s="61">
        <f t="shared" si="12"/>
        <v>0</v>
      </c>
    </row>
    <row r="111" spans="1:52" ht="12.75" customHeight="1" x14ac:dyDescent="0.3">
      <c r="A111" s="8">
        <v>4</v>
      </c>
      <c r="B111" s="241" t="s">
        <v>144</v>
      </c>
      <c r="C111" s="242">
        <v>300</v>
      </c>
      <c r="D111" s="238">
        <f t="shared" si="20"/>
        <v>-300</v>
      </c>
      <c r="E111" s="243" t="s">
        <v>138</v>
      </c>
      <c r="F111" s="240">
        <f t="shared" si="14"/>
        <v>126514.97250000003</v>
      </c>
      <c r="G111" s="77"/>
      <c r="H111" s="77">
        <v>7950</v>
      </c>
      <c r="I111" s="78">
        <f t="shared" si="21"/>
        <v>300</v>
      </c>
      <c r="J111" s="77"/>
      <c r="K111" s="38"/>
      <c r="L111" s="7"/>
      <c r="U111" s="61"/>
      <c r="V111" s="63"/>
      <c r="W111" s="31">
        <f>SUM(I111)</f>
        <v>300</v>
      </c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Z111" s="61">
        <f t="shared" si="12"/>
        <v>0</v>
      </c>
    </row>
    <row r="112" spans="1:52" ht="12.75" customHeight="1" x14ac:dyDescent="0.3">
      <c r="A112" s="8">
        <v>4</v>
      </c>
      <c r="B112" s="244" t="s">
        <v>143</v>
      </c>
      <c r="C112" s="242">
        <v>75</v>
      </c>
      <c r="D112" s="238">
        <f t="shared" si="20"/>
        <v>-75</v>
      </c>
      <c r="E112" s="243" t="s">
        <v>138</v>
      </c>
      <c r="F112" s="240">
        <f t="shared" si="14"/>
        <v>126439.97250000003</v>
      </c>
      <c r="G112" s="77"/>
      <c r="H112" s="77">
        <v>7950</v>
      </c>
      <c r="I112" s="78">
        <f t="shared" si="21"/>
        <v>75</v>
      </c>
      <c r="J112" s="77"/>
      <c r="K112" s="38"/>
      <c r="L112" s="7"/>
      <c r="U112" s="61"/>
      <c r="V112" s="63"/>
      <c r="W112" s="31">
        <f>SUM(I112)</f>
        <v>75</v>
      </c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Z112" s="61">
        <f t="shared" si="12"/>
        <v>0</v>
      </c>
    </row>
    <row r="113" spans="1:52" ht="12.75" customHeight="1" x14ac:dyDescent="0.3">
      <c r="A113" s="8">
        <v>4</v>
      </c>
      <c r="B113" s="241" t="s">
        <v>142</v>
      </c>
      <c r="C113" s="242">
        <v>2500</v>
      </c>
      <c r="D113" s="238">
        <f t="shared" si="20"/>
        <v>-2500</v>
      </c>
      <c r="E113" s="243" t="s">
        <v>140</v>
      </c>
      <c r="F113" s="240">
        <f t="shared" si="14"/>
        <v>123939.97250000003</v>
      </c>
      <c r="G113" s="77"/>
      <c r="H113" s="77">
        <v>5710</v>
      </c>
      <c r="I113" s="78">
        <f t="shared" si="21"/>
        <v>2500</v>
      </c>
      <c r="J113" s="77"/>
      <c r="K113" s="38"/>
      <c r="L113" s="7"/>
      <c r="U113" s="61"/>
      <c r="V113" s="63"/>
      <c r="W113" s="31"/>
      <c r="X113" s="31"/>
      <c r="Y113" s="31"/>
      <c r="Z113" s="31">
        <f>SUM(I113)</f>
        <v>2500</v>
      </c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Z113" s="61">
        <f t="shared" si="12"/>
        <v>0</v>
      </c>
    </row>
    <row r="114" spans="1:52" ht="12.75" customHeight="1" x14ac:dyDescent="0.3">
      <c r="A114" s="8">
        <v>4</v>
      </c>
      <c r="B114" s="241" t="s">
        <v>141</v>
      </c>
      <c r="C114" s="242">
        <v>1080</v>
      </c>
      <c r="D114" s="238">
        <f t="shared" si="20"/>
        <v>-1080</v>
      </c>
      <c r="E114" s="243" t="s">
        <v>140</v>
      </c>
      <c r="F114" s="240">
        <f t="shared" si="14"/>
        <v>122859.97250000003</v>
      </c>
      <c r="G114" s="77"/>
      <c r="H114" s="77">
        <v>6730</v>
      </c>
      <c r="I114" s="78">
        <f t="shared" si="21"/>
        <v>1080</v>
      </c>
      <c r="J114" s="77"/>
      <c r="K114" s="38"/>
      <c r="L114" s="7"/>
      <c r="U114" s="61"/>
      <c r="V114" s="63"/>
      <c r="W114" s="31"/>
      <c r="X114" s="31">
        <f>SUM(I114)</f>
        <v>1080</v>
      </c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Z114" s="61">
        <f t="shared" si="12"/>
        <v>0</v>
      </c>
    </row>
    <row r="115" spans="1:52" ht="12.75" customHeight="1" thickBot="1" x14ac:dyDescent="0.35">
      <c r="A115" s="215">
        <v>4</v>
      </c>
      <c r="B115" s="250" t="s">
        <v>348</v>
      </c>
      <c r="C115" s="251">
        <v>5000</v>
      </c>
      <c r="D115" s="252">
        <f t="shared" ref="D115" si="22">SUM(C115*-1)</f>
        <v>-5000</v>
      </c>
      <c r="E115" s="253" t="s">
        <v>374</v>
      </c>
      <c r="F115" s="254">
        <f t="shared" si="14"/>
        <v>117859.97250000003</v>
      </c>
      <c r="G115" s="77"/>
      <c r="H115" s="77">
        <v>5130</v>
      </c>
      <c r="I115" s="78">
        <f t="shared" si="21"/>
        <v>5000</v>
      </c>
      <c r="J115" s="77"/>
      <c r="K115" s="38"/>
      <c r="L115" s="7"/>
      <c r="U115" s="100"/>
      <c r="V115" s="99"/>
      <c r="W115" s="99"/>
      <c r="X115" s="99"/>
      <c r="Y115" s="99"/>
      <c r="Z115" s="99"/>
      <c r="AA115" s="99">
        <f>SUM(I115)</f>
        <v>5000</v>
      </c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AR115" s="99"/>
      <c r="AS115" s="99"/>
      <c r="AT115" s="73"/>
      <c r="AU115" s="73"/>
      <c r="AV115" s="73"/>
      <c r="AW115" s="73"/>
      <c r="AX115" s="73"/>
      <c r="AY115" s="73"/>
      <c r="AZ115" s="100">
        <f t="shared" si="12"/>
        <v>0</v>
      </c>
    </row>
    <row r="116" spans="1:52" ht="12.75" customHeight="1" x14ac:dyDescent="0.3">
      <c r="B116" s="241"/>
      <c r="C116" s="242"/>
      <c r="D116" s="238"/>
      <c r="E116" s="245" t="s">
        <v>285</v>
      </c>
      <c r="F116" s="240">
        <f t="shared" si="14"/>
        <v>117859.97250000003</v>
      </c>
      <c r="G116" s="77"/>
      <c r="H116" s="77"/>
      <c r="I116" s="78"/>
      <c r="J116" s="77"/>
      <c r="K116" s="38"/>
      <c r="L116" s="7"/>
      <c r="U116" s="107">
        <f t="shared" ref="U116:AY116" si="23">SUM(U87:U115)</f>
        <v>294.95</v>
      </c>
      <c r="V116" s="108">
        <f t="shared" si="23"/>
        <v>708.65</v>
      </c>
      <c r="W116" s="108">
        <f t="shared" si="23"/>
        <v>779.72749999999996</v>
      </c>
      <c r="X116" s="108">
        <f t="shared" si="23"/>
        <v>1080</v>
      </c>
      <c r="Y116" s="108">
        <f t="shared" si="23"/>
        <v>778.6875</v>
      </c>
      <c r="Z116" s="108">
        <f t="shared" si="23"/>
        <v>2500</v>
      </c>
      <c r="AA116" s="108">
        <f t="shared" si="23"/>
        <v>7375</v>
      </c>
      <c r="AB116" s="108">
        <f t="shared" si="23"/>
        <v>7500</v>
      </c>
      <c r="AC116" s="108">
        <f t="shared" si="23"/>
        <v>2350</v>
      </c>
      <c r="AD116" s="108">
        <f t="shared" si="23"/>
        <v>1674</v>
      </c>
      <c r="AE116" s="108">
        <f t="shared" si="23"/>
        <v>8333</v>
      </c>
      <c r="AF116" s="108">
        <f t="shared" si="23"/>
        <v>150</v>
      </c>
      <c r="AG116" s="108">
        <f t="shared" si="23"/>
        <v>2020</v>
      </c>
      <c r="AH116" s="108">
        <f t="shared" si="23"/>
        <v>20000</v>
      </c>
      <c r="AI116" s="108">
        <f t="shared" si="23"/>
        <v>1500</v>
      </c>
      <c r="AJ116" s="108">
        <f t="shared" si="23"/>
        <v>3000</v>
      </c>
      <c r="AK116" s="108">
        <f t="shared" si="23"/>
        <v>250</v>
      </c>
      <c r="AL116" s="108">
        <f t="shared" si="23"/>
        <v>0</v>
      </c>
      <c r="AM116" s="108">
        <f t="shared" si="23"/>
        <v>200</v>
      </c>
      <c r="AN116" s="108">
        <f t="shared" si="23"/>
        <v>625</v>
      </c>
      <c r="AO116" s="108">
        <f t="shared" si="23"/>
        <v>0</v>
      </c>
      <c r="AP116" s="108">
        <f t="shared" si="23"/>
        <v>1833.35</v>
      </c>
      <c r="AQ116" s="108">
        <f t="shared" si="23"/>
        <v>111.1875</v>
      </c>
      <c r="AR116" s="108">
        <f t="shared" si="23"/>
        <v>63.75</v>
      </c>
      <c r="AS116" s="108">
        <f t="shared" si="23"/>
        <v>0</v>
      </c>
      <c r="AT116" s="108">
        <f t="shared" si="23"/>
        <v>0</v>
      </c>
      <c r="AU116" s="108">
        <f t="shared" si="23"/>
        <v>0</v>
      </c>
      <c r="AV116" s="108">
        <f t="shared" si="23"/>
        <v>800</v>
      </c>
      <c r="AW116" s="108">
        <f t="shared" si="23"/>
        <v>0</v>
      </c>
      <c r="AX116" s="108">
        <f t="shared" si="23"/>
        <v>5000</v>
      </c>
      <c r="AY116" s="108">
        <f t="shared" si="23"/>
        <v>3250</v>
      </c>
      <c r="AZ116" s="61"/>
    </row>
    <row r="117" spans="1:52" ht="12.75" customHeight="1" x14ac:dyDescent="0.3">
      <c r="A117" s="403">
        <v>5</v>
      </c>
      <c r="B117" s="398" t="s">
        <v>388</v>
      </c>
      <c r="C117" s="399">
        <f>SUM(C87)</f>
        <v>5000</v>
      </c>
      <c r="D117" s="400">
        <f t="shared" ref="D117" si="24">SUM(C117*-1)</f>
        <v>-5000</v>
      </c>
      <c r="E117" s="401" t="s">
        <v>390</v>
      </c>
      <c r="F117" s="402">
        <f t="shared" si="14"/>
        <v>112859.97250000003</v>
      </c>
      <c r="G117" s="77"/>
      <c r="H117" s="77"/>
      <c r="I117" s="78"/>
      <c r="J117" s="77"/>
      <c r="K117" s="38"/>
      <c r="L117" s="7"/>
      <c r="U117" s="61"/>
      <c r="V117" s="63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X117" s="31">
        <f>SUM(C117)</f>
        <v>5000</v>
      </c>
      <c r="AZ117" s="61">
        <f t="shared" si="12"/>
        <v>0</v>
      </c>
    </row>
    <row r="118" spans="1:52" s="7" customFormat="1" ht="12.75" customHeight="1" x14ac:dyDescent="0.2">
      <c r="A118" s="42">
        <v>5</v>
      </c>
      <c r="B118" s="255" t="s">
        <v>177</v>
      </c>
      <c r="C118" s="256">
        <v>2000</v>
      </c>
      <c r="D118" s="257">
        <f t="shared" si="20"/>
        <v>-2000</v>
      </c>
      <c r="E118" s="259" t="s">
        <v>170</v>
      </c>
      <c r="F118" s="240">
        <f t="shared" si="14"/>
        <v>110859.97250000003</v>
      </c>
      <c r="G118" s="77"/>
      <c r="H118" s="77"/>
      <c r="I118" s="78"/>
      <c r="J118" s="77"/>
      <c r="K118" s="38"/>
      <c r="U118" s="61"/>
      <c r="V118" s="63"/>
      <c r="W118" s="31">
        <v>250</v>
      </c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Y118" s="63">
        <v>1750</v>
      </c>
      <c r="AZ118" s="61">
        <f t="shared" si="12"/>
        <v>0</v>
      </c>
    </row>
    <row r="119" spans="1:52" s="7" customFormat="1" ht="12.75" customHeight="1" x14ac:dyDescent="0.2">
      <c r="A119" s="215">
        <v>5</v>
      </c>
      <c r="B119" s="479" t="s">
        <v>398</v>
      </c>
      <c r="C119" s="251">
        <v>2000</v>
      </c>
      <c r="D119" s="252">
        <f t="shared" ref="D119:D120" si="25">SUM(C119*-1)</f>
        <v>-2000</v>
      </c>
      <c r="E119" s="480" t="s">
        <v>397</v>
      </c>
      <c r="F119" s="254">
        <f t="shared" si="14"/>
        <v>108859.97250000003</v>
      </c>
      <c r="G119" s="77"/>
      <c r="H119" s="77"/>
      <c r="I119" s="78"/>
      <c r="J119" s="77"/>
      <c r="K119" s="38"/>
      <c r="U119" s="61"/>
      <c r="V119" s="63"/>
      <c r="W119" s="31"/>
      <c r="X119" s="31"/>
      <c r="Y119" s="31"/>
      <c r="Z119" s="31"/>
      <c r="AA119" s="31">
        <f>SUM(C119)</f>
        <v>2000</v>
      </c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Y119" s="63"/>
      <c r="AZ119" s="61"/>
    </row>
    <row r="120" spans="1:52" s="7" customFormat="1" ht="12.75" customHeight="1" x14ac:dyDescent="0.2">
      <c r="A120" s="215">
        <v>5</v>
      </c>
      <c r="B120" s="479" t="s">
        <v>401</v>
      </c>
      <c r="C120" s="251">
        <v>800</v>
      </c>
      <c r="D120" s="252">
        <f t="shared" si="25"/>
        <v>-800</v>
      </c>
      <c r="E120" s="480" t="s">
        <v>402</v>
      </c>
      <c r="F120" s="254">
        <f t="shared" si="14"/>
        <v>108059.97250000003</v>
      </c>
      <c r="G120" s="77"/>
      <c r="H120" s="77"/>
      <c r="I120" s="78"/>
      <c r="J120" s="77"/>
      <c r="K120" s="38"/>
      <c r="U120" s="61"/>
      <c r="V120" s="63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V120" s="31">
        <f>SUM(C120)</f>
        <v>800</v>
      </c>
      <c r="AY120" s="63"/>
      <c r="AZ120" s="61"/>
    </row>
    <row r="121" spans="1:52" s="7" customFormat="1" ht="12.75" customHeight="1" x14ac:dyDescent="0.2">
      <c r="A121" s="42">
        <v>5</v>
      </c>
      <c r="B121" s="255" t="s">
        <v>176</v>
      </c>
      <c r="C121" s="256">
        <v>7500</v>
      </c>
      <c r="D121" s="257">
        <f t="shared" si="20"/>
        <v>-7500</v>
      </c>
      <c r="E121" s="259" t="s">
        <v>170</v>
      </c>
      <c r="F121" s="478">
        <f t="shared" si="14"/>
        <v>100559.97250000003</v>
      </c>
      <c r="G121" s="77"/>
      <c r="H121" s="77">
        <v>5510</v>
      </c>
      <c r="I121" s="78">
        <f>C121</f>
        <v>7500</v>
      </c>
      <c r="J121" s="77"/>
      <c r="K121" s="38"/>
      <c r="U121" s="61"/>
      <c r="V121" s="63"/>
      <c r="W121" s="31"/>
      <c r="X121" s="31"/>
      <c r="Y121" s="31"/>
      <c r="Z121" s="31"/>
      <c r="AA121" s="31"/>
      <c r="AB121" s="31">
        <f>SUM(I121)</f>
        <v>7500</v>
      </c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Y121" s="62"/>
      <c r="AZ121" s="61">
        <f t="shared" si="12"/>
        <v>0</v>
      </c>
    </row>
    <row r="122" spans="1:52" s="7" customFormat="1" ht="12.75" customHeight="1" x14ac:dyDescent="0.2">
      <c r="A122" s="42">
        <v>5</v>
      </c>
      <c r="B122" s="255" t="s">
        <v>175</v>
      </c>
      <c r="C122" s="256">
        <v>550</v>
      </c>
      <c r="D122" s="257">
        <f t="shared" si="20"/>
        <v>-550</v>
      </c>
      <c r="E122" s="259" t="s">
        <v>170</v>
      </c>
      <c r="F122" s="478">
        <f t="shared" si="14"/>
        <v>100009.97250000003</v>
      </c>
      <c r="G122" s="77"/>
      <c r="H122" s="77">
        <v>7650</v>
      </c>
      <c r="I122" s="78">
        <f>C122</f>
        <v>550</v>
      </c>
      <c r="J122" s="77"/>
      <c r="K122" s="38"/>
      <c r="U122" s="61"/>
      <c r="V122" s="63"/>
      <c r="W122" s="31"/>
      <c r="X122" s="31"/>
      <c r="Y122" s="31"/>
      <c r="Z122" s="31"/>
      <c r="AA122" s="31"/>
      <c r="AB122" s="31"/>
      <c r="AC122" s="31">
        <f>SUM(I122)</f>
        <v>550</v>
      </c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Y122" s="62"/>
      <c r="AZ122" s="61">
        <f t="shared" si="12"/>
        <v>0</v>
      </c>
    </row>
    <row r="123" spans="1:52" s="7" customFormat="1" ht="12.75" customHeight="1" x14ac:dyDescent="0.2">
      <c r="A123" s="42">
        <v>5</v>
      </c>
      <c r="B123" s="255" t="s">
        <v>174</v>
      </c>
      <c r="C123" s="256">
        <v>1800</v>
      </c>
      <c r="D123" s="257">
        <f t="shared" si="20"/>
        <v>-1800</v>
      </c>
      <c r="E123" s="259" t="s">
        <v>173</v>
      </c>
      <c r="F123" s="478">
        <f t="shared" si="14"/>
        <v>98209.972500000033</v>
      </c>
      <c r="G123" s="77"/>
      <c r="H123" s="77">
        <v>7650</v>
      </c>
      <c r="I123" s="78">
        <f>C123</f>
        <v>1800</v>
      </c>
      <c r="J123" s="77"/>
      <c r="K123" s="38"/>
      <c r="U123" s="61"/>
      <c r="V123" s="63"/>
      <c r="W123" s="31"/>
      <c r="X123" s="31"/>
      <c r="Y123" s="31"/>
      <c r="Z123" s="31"/>
      <c r="AA123" s="31"/>
      <c r="AB123" s="31"/>
      <c r="AC123" s="31">
        <f>SUM(I123)</f>
        <v>1800</v>
      </c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Y123" s="62"/>
      <c r="AZ123" s="61">
        <f t="shared" si="12"/>
        <v>0</v>
      </c>
    </row>
    <row r="124" spans="1:52" s="7" customFormat="1" ht="12.75" customHeight="1" x14ac:dyDescent="0.2">
      <c r="A124" s="8">
        <v>5</v>
      </c>
      <c r="B124" s="241" t="s">
        <v>172</v>
      </c>
      <c r="C124" s="242">
        <v>9917</v>
      </c>
      <c r="D124" s="238">
        <f t="shared" si="20"/>
        <v>-9917</v>
      </c>
      <c r="E124" s="243" t="s">
        <v>170</v>
      </c>
      <c r="F124" s="240">
        <f t="shared" si="14"/>
        <v>88292.972500000033</v>
      </c>
      <c r="G124" s="77"/>
      <c r="H124" s="77">
        <v>5750</v>
      </c>
      <c r="I124" s="80">
        <v>1584</v>
      </c>
      <c r="J124" s="77">
        <v>5520</v>
      </c>
      <c r="K124" s="38">
        <v>8333</v>
      </c>
      <c r="U124" s="61"/>
      <c r="V124" s="63"/>
      <c r="W124" s="31"/>
      <c r="X124" s="31"/>
      <c r="Y124" s="31"/>
      <c r="Z124" s="31"/>
      <c r="AA124" s="31"/>
      <c r="AB124" s="31"/>
      <c r="AC124" s="31"/>
      <c r="AD124" s="31">
        <f>SUM(I124)</f>
        <v>1584</v>
      </c>
      <c r="AE124" s="31">
        <f>SUM(K124)</f>
        <v>8333</v>
      </c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Y124" s="62"/>
      <c r="AZ124" s="61">
        <f t="shared" si="12"/>
        <v>0</v>
      </c>
    </row>
    <row r="125" spans="1:52" s="7" customFormat="1" ht="12.75" customHeight="1" x14ac:dyDescent="0.2">
      <c r="A125" s="8">
        <v>5</v>
      </c>
      <c r="B125" s="241" t="s">
        <v>171</v>
      </c>
      <c r="C125" s="242">
        <v>34.950000000000003</v>
      </c>
      <c r="D125" s="238">
        <f t="shared" si="20"/>
        <v>-34.950000000000003</v>
      </c>
      <c r="E125" s="243" t="s">
        <v>170</v>
      </c>
      <c r="F125" s="240">
        <f t="shared" si="14"/>
        <v>88258.022500000036</v>
      </c>
      <c r="G125" s="77"/>
      <c r="H125" s="77">
        <v>7850</v>
      </c>
      <c r="I125" s="78">
        <f>C125</f>
        <v>34.950000000000003</v>
      </c>
      <c r="J125" s="77"/>
      <c r="K125" s="38"/>
      <c r="U125" s="61">
        <f>SUM(I125)</f>
        <v>34.950000000000003</v>
      </c>
      <c r="V125" s="63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Y125" s="62"/>
      <c r="AZ125" s="61">
        <f t="shared" ref="AZ125:AZ158" si="26">SUM(U125:AY125)-C125</f>
        <v>0</v>
      </c>
    </row>
    <row r="126" spans="1:52" s="7" customFormat="1" ht="12.75" customHeight="1" x14ac:dyDescent="0.2">
      <c r="A126" s="8">
        <v>5</v>
      </c>
      <c r="B126" s="241" t="s">
        <v>169</v>
      </c>
      <c r="C126" s="242">
        <v>150</v>
      </c>
      <c r="D126" s="238">
        <f t="shared" si="20"/>
        <v>-150</v>
      </c>
      <c r="E126" s="243" t="s">
        <v>168</v>
      </c>
      <c r="F126" s="240">
        <f t="shared" si="14"/>
        <v>88108.022500000036</v>
      </c>
      <c r="G126" s="77"/>
      <c r="H126" s="77">
        <v>7090</v>
      </c>
      <c r="I126" s="78">
        <f>C126</f>
        <v>150</v>
      </c>
      <c r="J126" s="77"/>
      <c r="K126" s="38"/>
      <c r="U126" s="61"/>
      <c r="V126" s="63"/>
      <c r="W126" s="31"/>
      <c r="X126" s="31"/>
      <c r="Y126" s="31"/>
      <c r="Z126" s="31"/>
      <c r="AA126" s="31"/>
      <c r="AB126" s="31"/>
      <c r="AC126" s="31"/>
      <c r="AD126" s="31"/>
      <c r="AE126" s="31"/>
      <c r="AF126" s="31">
        <f>SUM(I126)</f>
        <v>150</v>
      </c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Y126" s="62"/>
      <c r="AZ126" s="61">
        <f t="shared" si="26"/>
        <v>0</v>
      </c>
    </row>
    <row r="127" spans="1:52" ht="12.75" customHeight="1" x14ac:dyDescent="0.3">
      <c r="A127" s="8">
        <v>5</v>
      </c>
      <c r="B127" s="241" t="s">
        <v>155</v>
      </c>
      <c r="C127" s="242">
        <v>13385</v>
      </c>
      <c r="D127" s="238">
        <v>-13385</v>
      </c>
      <c r="E127" s="243">
        <v>43895</v>
      </c>
      <c r="F127" s="240">
        <f t="shared" si="14"/>
        <v>74723.022500000036</v>
      </c>
      <c r="G127" s="77"/>
      <c r="H127" s="77">
        <v>8570</v>
      </c>
      <c r="I127" s="80">
        <v>1010</v>
      </c>
      <c r="J127" s="77" t="s">
        <v>207</v>
      </c>
      <c r="K127" s="38" t="s">
        <v>207</v>
      </c>
      <c r="L127" s="7">
        <v>8510</v>
      </c>
      <c r="M127" s="38">
        <v>10000</v>
      </c>
      <c r="N127" s="50">
        <v>8520</v>
      </c>
      <c r="O127" s="38">
        <v>750</v>
      </c>
      <c r="P127" s="50">
        <v>8530</v>
      </c>
      <c r="Q127" s="123">
        <v>1500</v>
      </c>
      <c r="R127" s="50">
        <v>8590</v>
      </c>
      <c r="S127" s="38">
        <v>125</v>
      </c>
      <c r="T127" s="51">
        <v>13385</v>
      </c>
      <c r="U127" s="61"/>
      <c r="V127" s="63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>
        <v>1010</v>
      </c>
      <c r="AH127" s="31">
        <v>10000</v>
      </c>
      <c r="AI127" s="31">
        <v>750</v>
      </c>
      <c r="AJ127" s="31">
        <v>1500</v>
      </c>
      <c r="AK127" s="31">
        <v>125</v>
      </c>
      <c r="AL127" s="31"/>
      <c r="AM127" s="31"/>
      <c r="AN127" s="31"/>
      <c r="AO127" s="31"/>
      <c r="AP127" s="31"/>
      <c r="AQ127" s="31"/>
      <c r="AR127" s="31"/>
      <c r="AS127" s="31"/>
      <c r="AZ127" s="61">
        <v>0</v>
      </c>
    </row>
    <row r="128" spans="1:52" s="7" customFormat="1" ht="12.75" customHeight="1" x14ac:dyDescent="0.2">
      <c r="A128" s="8">
        <v>5</v>
      </c>
      <c r="B128" s="241" t="s">
        <v>153</v>
      </c>
      <c r="C128" s="242">
        <v>100</v>
      </c>
      <c r="D128" s="238">
        <f t="shared" si="20"/>
        <v>-100</v>
      </c>
      <c r="E128" s="243" t="s">
        <v>166</v>
      </c>
      <c r="F128" s="240">
        <f t="shared" si="14"/>
        <v>74623.022500000036</v>
      </c>
      <c r="G128" s="77"/>
      <c r="H128" s="77">
        <v>7850</v>
      </c>
      <c r="I128" s="78">
        <f>C128</f>
        <v>100</v>
      </c>
      <c r="J128" s="77"/>
      <c r="K128" s="38"/>
      <c r="U128" s="61">
        <f>SUM(I128)</f>
        <v>100</v>
      </c>
      <c r="V128" s="63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Y128" s="62"/>
      <c r="AZ128" s="61">
        <f t="shared" si="26"/>
        <v>0</v>
      </c>
    </row>
    <row r="129" spans="1:52" s="7" customFormat="1" ht="12.75" customHeight="1" x14ac:dyDescent="0.2">
      <c r="A129" s="8">
        <v>5</v>
      </c>
      <c r="B129" s="241" t="s">
        <v>165</v>
      </c>
      <c r="C129" s="242">
        <v>200</v>
      </c>
      <c r="D129" s="238">
        <f t="shared" si="20"/>
        <v>-200</v>
      </c>
      <c r="E129" s="243" t="s">
        <v>161</v>
      </c>
      <c r="F129" s="240">
        <f t="shared" si="14"/>
        <v>74423.022500000036</v>
      </c>
      <c r="G129" s="77"/>
      <c r="H129" s="77">
        <v>6770</v>
      </c>
      <c r="I129" s="78">
        <f>C129</f>
        <v>200</v>
      </c>
      <c r="J129" s="77"/>
      <c r="K129" s="38"/>
      <c r="U129" s="61"/>
      <c r="V129" s="63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>
        <f>SUM(I129)</f>
        <v>200</v>
      </c>
      <c r="AN129" s="31"/>
      <c r="AO129" s="31"/>
      <c r="AP129" s="31"/>
      <c r="AQ129" s="31"/>
      <c r="AR129" s="31"/>
      <c r="AS129" s="31"/>
      <c r="AY129" s="62"/>
      <c r="AZ129" s="61">
        <f t="shared" si="26"/>
        <v>0</v>
      </c>
    </row>
    <row r="130" spans="1:52" s="7" customFormat="1" ht="12.75" customHeight="1" x14ac:dyDescent="0.2">
      <c r="A130" s="8">
        <v>5</v>
      </c>
      <c r="B130" s="244" t="s">
        <v>164</v>
      </c>
      <c r="C130" s="242">
        <v>625</v>
      </c>
      <c r="D130" s="238">
        <f t="shared" si="20"/>
        <v>-625</v>
      </c>
      <c r="E130" s="243" t="s">
        <v>163</v>
      </c>
      <c r="F130" s="240">
        <f t="shared" si="14"/>
        <v>73798.022500000036</v>
      </c>
      <c r="G130" s="77"/>
      <c r="H130" s="77">
        <v>5540</v>
      </c>
      <c r="I130" s="78">
        <f>C130</f>
        <v>625</v>
      </c>
      <c r="J130" s="77"/>
      <c r="K130" s="38"/>
      <c r="U130" s="61"/>
      <c r="V130" s="63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>
        <f>SUM(I130)</f>
        <v>625</v>
      </c>
      <c r="AO130" s="31"/>
      <c r="AP130" s="31"/>
      <c r="AQ130" s="31"/>
      <c r="AR130" s="31"/>
      <c r="AS130" s="31"/>
      <c r="AY130" s="62"/>
      <c r="AZ130" s="61">
        <f t="shared" si="26"/>
        <v>0</v>
      </c>
    </row>
    <row r="131" spans="1:52" ht="12.75" customHeight="1" x14ac:dyDescent="0.3">
      <c r="A131" s="8">
        <v>5</v>
      </c>
      <c r="B131" s="241" t="s">
        <v>162</v>
      </c>
      <c r="C131" s="242">
        <v>60</v>
      </c>
      <c r="D131" s="238">
        <f t="shared" si="20"/>
        <v>-60</v>
      </c>
      <c r="E131" s="243" t="s">
        <v>161</v>
      </c>
      <c r="F131" s="240">
        <f t="shared" si="14"/>
        <v>73738.022500000036</v>
      </c>
      <c r="G131" s="77"/>
      <c r="H131" s="77">
        <v>7850</v>
      </c>
      <c r="I131" s="78">
        <f>C131</f>
        <v>60</v>
      </c>
      <c r="J131" s="77"/>
      <c r="K131" s="38"/>
      <c r="L131" s="7"/>
      <c r="U131" s="61">
        <f>SUM(I131)</f>
        <v>60</v>
      </c>
      <c r="V131" s="63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Z131" s="61">
        <f t="shared" si="26"/>
        <v>0</v>
      </c>
    </row>
    <row r="132" spans="1:52" ht="12.75" customHeight="1" x14ac:dyDescent="0.3">
      <c r="A132" s="42">
        <v>5</v>
      </c>
      <c r="B132" s="274" t="s">
        <v>160</v>
      </c>
      <c r="C132" s="275">
        <v>1833.35</v>
      </c>
      <c r="D132" s="257">
        <f t="shared" si="20"/>
        <v>-1833.35</v>
      </c>
      <c r="E132" s="259" t="s">
        <v>159</v>
      </c>
      <c r="F132" s="240">
        <f t="shared" si="14"/>
        <v>71904.67250000003</v>
      </c>
      <c r="G132" s="79"/>
      <c r="H132" s="77">
        <v>6590</v>
      </c>
      <c r="I132" s="78">
        <f>C132</f>
        <v>1833.35</v>
      </c>
      <c r="J132" s="77"/>
      <c r="K132" s="38"/>
      <c r="L132" s="7"/>
      <c r="U132" s="61"/>
      <c r="V132" s="63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P132" s="31">
        <f>SUM(I132)</f>
        <v>1833.35</v>
      </c>
      <c r="AQ132" s="31"/>
      <c r="AR132" s="31"/>
      <c r="AS132" s="31"/>
      <c r="AZ132" s="61">
        <f t="shared" si="26"/>
        <v>0</v>
      </c>
    </row>
    <row r="133" spans="1:52" ht="12.75" customHeight="1" x14ac:dyDescent="0.3">
      <c r="A133" s="8">
        <v>5</v>
      </c>
      <c r="B133" s="241" t="s">
        <v>155</v>
      </c>
      <c r="C133" s="242">
        <v>13385</v>
      </c>
      <c r="D133" s="238">
        <v>-13385</v>
      </c>
      <c r="E133" s="243">
        <v>43895</v>
      </c>
      <c r="F133" s="240">
        <f t="shared" si="14"/>
        <v>58519.67250000003</v>
      </c>
      <c r="G133" s="77"/>
      <c r="H133" s="77">
        <v>8570</v>
      </c>
      <c r="I133" s="80">
        <v>1010</v>
      </c>
      <c r="J133" s="77" t="s">
        <v>207</v>
      </c>
      <c r="K133" s="38" t="s">
        <v>207</v>
      </c>
      <c r="L133" s="7">
        <v>8510</v>
      </c>
      <c r="M133" s="38">
        <v>10000</v>
      </c>
      <c r="N133" s="50">
        <v>8520</v>
      </c>
      <c r="O133" s="38">
        <v>750</v>
      </c>
      <c r="P133" s="50">
        <v>8530</v>
      </c>
      <c r="Q133" s="123">
        <v>1500</v>
      </c>
      <c r="R133" s="50">
        <v>8590</v>
      </c>
      <c r="S133" s="38">
        <v>125</v>
      </c>
      <c r="T133" s="51">
        <v>13385</v>
      </c>
      <c r="U133" s="61"/>
      <c r="V133" s="63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>
        <v>1010</v>
      </c>
      <c r="AH133" s="31">
        <v>10000</v>
      </c>
      <c r="AI133" s="31">
        <v>750</v>
      </c>
      <c r="AJ133" s="31">
        <v>1500</v>
      </c>
      <c r="AK133" s="31">
        <v>125</v>
      </c>
      <c r="AL133" s="31"/>
      <c r="AM133" s="31"/>
      <c r="AN133" s="31"/>
      <c r="AO133" s="31"/>
      <c r="AP133" s="31"/>
      <c r="AQ133" s="31"/>
      <c r="AR133" s="31"/>
      <c r="AS133" s="31"/>
      <c r="AZ133" s="61">
        <v>0</v>
      </c>
    </row>
    <row r="134" spans="1:52" ht="12.75" customHeight="1" x14ac:dyDescent="0.3">
      <c r="A134" s="8">
        <v>5</v>
      </c>
      <c r="B134" s="241" t="s">
        <v>153</v>
      </c>
      <c r="C134" s="242">
        <v>100</v>
      </c>
      <c r="D134" s="238">
        <f t="shared" si="20"/>
        <v>-100</v>
      </c>
      <c r="E134" s="243" t="s">
        <v>152</v>
      </c>
      <c r="F134" s="240">
        <f t="shared" si="14"/>
        <v>58419.67250000003</v>
      </c>
      <c r="G134" s="77"/>
      <c r="H134" s="77">
        <v>7850</v>
      </c>
      <c r="I134" s="78">
        <f>C134</f>
        <v>100</v>
      </c>
      <c r="J134" s="77"/>
      <c r="K134" s="38"/>
      <c r="L134" s="7"/>
      <c r="U134" s="61">
        <f>SUM(I134)</f>
        <v>100</v>
      </c>
      <c r="V134" s="63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Z134" s="61">
        <f t="shared" si="26"/>
        <v>0</v>
      </c>
    </row>
    <row r="135" spans="1:52" ht="12.75" customHeight="1" x14ac:dyDescent="0.3">
      <c r="A135" s="8">
        <v>5</v>
      </c>
      <c r="B135" s="244" t="s">
        <v>266</v>
      </c>
      <c r="C135" s="242">
        <f>SUM('CCD - Mnthly Bills'!C20)</f>
        <v>1523.3625000000002</v>
      </c>
      <c r="D135" s="238">
        <f t="shared" si="20"/>
        <v>-1523.3625000000002</v>
      </c>
      <c r="E135" s="243" t="s">
        <v>268</v>
      </c>
      <c r="F135" s="240">
        <f t="shared" si="14"/>
        <v>56896.310000000027</v>
      </c>
      <c r="G135" s="77"/>
      <c r="H135" s="570" t="s">
        <v>264</v>
      </c>
      <c r="I135" s="570"/>
      <c r="J135" s="77"/>
      <c r="K135" s="38"/>
      <c r="L135" s="7"/>
      <c r="U135" s="61"/>
      <c r="V135" s="63"/>
      <c r="W135" s="31">
        <f>SUM(W106)</f>
        <v>104.73750000000001</v>
      </c>
      <c r="X135" s="31"/>
      <c r="Y135" s="31">
        <f>SUM(Y106)</f>
        <v>778.6875</v>
      </c>
      <c r="Z135" s="31"/>
      <c r="AA135" s="31">
        <f>SUM(AA106)</f>
        <v>375</v>
      </c>
      <c r="AB135" s="31"/>
      <c r="AC135" s="31"/>
      <c r="AD135" s="31">
        <f>SUM(AD106)</f>
        <v>90</v>
      </c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>
        <f>SUM(AQ106)</f>
        <v>111.1875</v>
      </c>
      <c r="AR135" s="31">
        <f>SUM(AR106)</f>
        <v>63.75</v>
      </c>
      <c r="AS135" s="31"/>
      <c r="AZ135" s="61">
        <f t="shared" si="26"/>
        <v>0</v>
      </c>
    </row>
    <row r="136" spans="1:52" ht="12.75" customHeight="1" x14ac:dyDescent="0.3">
      <c r="A136" s="8">
        <v>5</v>
      </c>
      <c r="B136" s="241" t="s">
        <v>150</v>
      </c>
      <c r="C136" s="242">
        <v>458.65</v>
      </c>
      <c r="D136" s="238">
        <f t="shared" si="20"/>
        <v>-458.65</v>
      </c>
      <c r="E136" s="243" t="s">
        <v>149</v>
      </c>
      <c r="F136" s="240">
        <f t="shared" si="14"/>
        <v>56437.660000000025</v>
      </c>
      <c r="G136" s="77"/>
      <c r="H136" s="77">
        <v>7910</v>
      </c>
      <c r="I136" s="78">
        <f t="shared" ref="I136:I143" si="27">C136</f>
        <v>458.65</v>
      </c>
      <c r="J136" s="77"/>
      <c r="K136" s="38"/>
      <c r="L136" s="7"/>
      <c r="U136" s="61"/>
      <c r="V136" s="63">
        <f>SUM(I136)</f>
        <v>458.65</v>
      </c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Z136" s="61">
        <f t="shared" si="26"/>
        <v>0</v>
      </c>
    </row>
    <row r="137" spans="1:52" ht="12.75" customHeight="1" x14ac:dyDescent="0.3">
      <c r="A137" s="8">
        <v>5</v>
      </c>
      <c r="B137" s="241" t="s">
        <v>148</v>
      </c>
      <c r="C137" s="242">
        <v>150</v>
      </c>
      <c r="D137" s="238">
        <f t="shared" si="20"/>
        <v>-150</v>
      </c>
      <c r="E137" s="243" t="s">
        <v>147</v>
      </c>
      <c r="F137" s="240">
        <f t="shared" si="14"/>
        <v>56287.660000000025</v>
      </c>
      <c r="G137" s="77"/>
      <c r="H137" s="77">
        <v>7950</v>
      </c>
      <c r="I137" s="78">
        <f t="shared" si="27"/>
        <v>150</v>
      </c>
      <c r="J137" s="77"/>
      <c r="K137" s="38"/>
      <c r="L137" s="7"/>
      <c r="U137" s="61"/>
      <c r="V137" s="63"/>
      <c r="W137" s="31">
        <f>SUM(I137)</f>
        <v>150</v>
      </c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Z137" s="61">
        <f t="shared" si="26"/>
        <v>0</v>
      </c>
    </row>
    <row r="138" spans="1:52" ht="12.75" customHeight="1" x14ac:dyDescent="0.3">
      <c r="A138" s="8">
        <v>5</v>
      </c>
      <c r="B138" s="241" t="s">
        <v>146</v>
      </c>
      <c r="C138" s="242">
        <v>149.99</v>
      </c>
      <c r="D138" s="238">
        <f t="shared" si="20"/>
        <v>-149.99</v>
      </c>
      <c r="E138" s="243" t="s">
        <v>145</v>
      </c>
      <c r="F138" s="240">
        <f t="shared" si="14"/>
        <v>56137.670000000027</v>
      </c>
      <c r="G138" s="77"/>
      <c r="H138" s="77">
        <v>7950</v>
      </c>
      <c r="I138" s="78">
        <f t="shared" si="27"/>
        <v>149.99</v>
      </c>
      <c r="J138" s="77"/>
      <c r="K138" s="38"/>
      <c r="L138" s="7"/>
      <c r="U138" s="61"/>
      <c r="V138" s="63"/>
      <c r="W138" s="31">
        <f>SUM(I138)</f>
        <v>149.99</v>
      </c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Z138" s="61">
        <f t="shared" si="26"/>
        <v>0</v>
      </c>
    </row>
    <row r="139" spans="1:52" ht="12.75" customHeight="1" x14ac:dyDescent="0.3">
      <c r="A139" s="8">
        <v>5</v>
      </c>
      <c r="B139" s="241" t="s">
        <v>144</v>
      </c>
      <c r="C139" s="242">
        <v>300</v>
      </c>
      <c r="D139" s="238">
        <f t="shared" si="20"/>
        <v>-300</v>
      </c>
      <c r="E139" s="243" t="s">
        <v>138</v>
      </c>
      <c r="F139" s="240">
        <f t="shared" si="14"/>
        <v>55837.670000000027</v>
      </c>
      <c r="G139" s="77"/>
      <c r="H139" s="77">
        <v>7950</v>
      </c>
      <c r="I139" s="78">
        <f t="shared" si="27"/>
        <v>300</v>
      </c>
      <c r="J139" s="77"/>
      <c r="K139" s="38"/>
      <c r="L139" s="7"/>
      <c r="U139" s="61"/>
      <c r="V139" s="63"/>
      <c r="W139" s="31">
        <f>SUM(I139)</f>
        <v>300</v>
      </c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Z139" s="61">
        <f t="shared" si="26"/>
        <v>0</v>
      </c>
    </row>
    <row r="140" spans="1:52" ht="12.75" customHeight="1" x14ac:dyDescent="0.3">
      <c r="A140" s="8">
        <v>5</v>
      </c>
      <c r="B140" s="244" t="s">
        <v>143</v>
      </c>
      <c r="C140" s="242">
        <v>75</v>
      </c>
      <c r="D140" s="238">
        <f t="shared" si="20"/>
        <v>-75</v>
      </c>
      <c r="E140" s="243" t="s">
        <v>138</v>
      </c>
      <c r="F140" s="240">
        <f t="shared" si="14"/>
        <v>55762.670000000027</v>
      </c>
      <c r="G140" s="77"/>
      <c r="H140" s="77">
        <v>7950</v>
      </c>
      <c r="I140" s="78">
        <f t="shared" si="27"/>
        <v>75</v>
      </c>
      <c r="J140" s="77"/>
      <c r="K140" s="38"/>
      <c r="L140" s="7"/>
      <c r="U140" s="61"/>
      <c r="V140" s="63"/>
      <c r="W140" s="31">
        <f>SUM(I140)</f>
        <v>75</v>
      </c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Z140" s="61">
        <f t="shared" si="26"/>
        <v>0</v>
      </c>
    </row>
    <row r="141" spans="1:52" ht="12.75" customHeight="1" x14ac:dyDescent="0.3">
      <c r="A141" s="8">
        <v>5</v>
      </c>
      <c r="B141" s="241" t="s">
        <v>142</v>
      </c>
      <c r="C141" s="242">
        <v>2500</v>
      </c>
      <c r="D141" s="238">
        <f t="shared" si="20"/>
        <v>-2500</v>
      </c>
      <c r="E141" s="243" t="s">
        <v>140</v>
      </c>
      <c r="F141" s="240">
        <f t="shared" si="14"/>
        <v>53262.670000000027</v>
      </c>
      <c r="G141" s="77"/>
      <c r="H141" s="77">
        <v>5710</v>
      </c>
      <c r="I141" s="78">
        <f t="shared" si="27"/>
        <v>2500</v>
      </c>
      <c r="J141" s="77"/>
      <c r="K141" s="38"/>
      <c r="L141" s="7"/>
      <c r="U141" s="61"/>
      <c r="V141" s="63"/>
      <c r="W141" s="31"/>
      <c r="X141" s="31"/>
      <c r="Y141" s="31"/>
      <c r="Z141" s="31">
        <f>SUM(I141)</f>
        <v>2500</v>
      </c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Z141" s="61">
        <f t="shared" si="26"/>
        <v>0</v>
      </c>
    </row>
    <row r="142" spans="1:52" ht="12.75" customHeight="1" x14ac:dyDescent="0.3">
      <c r="A142" s="8">
        <v>5</v>
      </c>
      <c r="B142" s="241" t="s">
        <v>141</v>
      </c>
      <c r="C142" s="242">
        <v>1080</v>
      </c>
      <c r="D142" s="238">
        <f t="shared" si="20"/>
        <v>-1080</v>
      </c>
      <c r="E142" s="243" t="s">
        <v>140</v>
      </c>
      <c r="F142" s="240">
        <f t="shared" ref="F142:F175" si="28">SUM(F141+D142)</f>
        <v>52182.670000000027</v>
      </c>
      <c r="G142" s="77"/>
      <c r="H142" s="77">
        <v>6730</v>
      </c>
      <c r="I142" s="78">
        <f t="shared" si="27"/>
        <v>1080</v>
      </c>
      <c r="J142" s="77"/>
      <c r="K142" s="38"/>
      <c r="L142" s="7"/>
      <c r="U142" s="61"/>
      <c r="V142" s="63"/>
      <c r="W142" s="31"/>
      <c r="X142" s="31">
        <f>SUM(I142)</f>
        <v>1080</v>
      </c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Z142" s="61">
        <f t="shared" si="26"/>
        <v>0</v>
      </c>
    </row>
    <row r="143" spans="1:52" ht="12.75" customHeight="1" thickBot="1" x14ac:dyDescent="0.35">
      <c r="A143" s="215">
        <v>5</v>
      </c>
      <c r="B143" s="250" t="s">
        <v>348</v>
      </c>
      <c r="C143" s="251">
        <v>5000</v>
      </c>
      <c r="D143" s="252">
        <f t="shared" ref="D143" si="29">SUM(C143*-1)</f>
        <v>-5000</v>
      </c>
      <c r="E143" s="253" t="s">
        <v>374</v>
      </c>
      <c r="F143" s="254">
        <f t="shared" si="28"/>
        <v>47182.670000000027</v>
      </c>
      <c r="G143" s="77"/>
      <c r="H143" s="77">
        <v>5130</v>
      </c>
      <c r="I143" s="78">
        <f t="shared" si="27"/>
        <v>5000</v>
      </c>
      <c r="J143" s="77"/>
      <c r="K143" s="38"/>
      <c r="L143" s="7"/>
      <c r="U143" s="100"/>
      <c r="V143" s="99"/>
      <c r="W143" s="99"/>
      <c r="X143" s="99"/>
      <c r="Y143" s="99"/>
      <c r="Z143" s="99"/>
      <c r="AA143" s="99">
        <f>SUM(I143)</f>
        <v>5000</v>
      </c>
      <c r="AB143" s="99"/>
      <c r="AC143" s="99"/>
      <c r="AD143" s="99"/>
      <c r="AE143" s="99"/>
      <c r="AF143" s="99"/>
      <c r="AG143" s="99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73"/>
      <c r="AU143" s="73"/>
      <c r="AV143" s="73"/>
      <c r="AW143" s="73"/>
      <c r="AX143" s="73"/>
      <c r="AY143" s="73"/>
      <c r="AZ143" s="100">
        <f t="shared" si="26"/>
        <v>0</v>
      </c>
    </row>
    <row r="144" spans="1:52" ht="12.75" customHeight="1" x14ac:dyDescent="0.3">
      <c r="B144" s="241"/>
      <c r="C144" s="242"/>
      <c r="D144" s="238"/>
      <c r="E144" s="245" t="s">
        <v>286</v>
      </c>
      <c r="F144" s="240">
        <f t="shared" si="28"/>
        <v>47182.670000000027</v>
      </c>
      <c r="G144" s="77"/>
      <c r="H144" s="77"/>
      <c r="I144" s="78"/>
      <c r="J144" s="77"/>
      <c r="K144" s="38"/>
      <c r="L144" s="7"/>
      <c r="U144" s="107">
        <f t="shared" ref="U144:AY144" si="30">SUM(U117:U143)</f>
        <v>294.95</v>
      </c>
      <c r="V144" s="108">
        <f t="shared" si="30"/>
        <v>458.65</v>
      </c>
      <c r="W144" s="108">
        <f t="shared" si="30"/>
        <v>1029.7275</v>
      </c>
      <c r="X144" s="108">
        <f t="shared" si="30"/>
        <v>1080</v>
      </c>
      <c r="Y144" s="108">
        <f t="shared" si="30"/>
        <v>778.6875</v>
      </c>
      <c r="Z144" s="108">
        <f t="shared" si="30"/>
        <v>2500</v>
      </c>
      <c r="AA144" s="108">
        <f t="shared" si="30"/>
        <v>7375</v>
      </c>
      <c r="AB144" s="108">
        <f t="shared" si="30"/>
        <v>7500</v>
      </c>
      <c r="AC144" s="108">
        <f t="shared" si="30"/>
        <v>2350</v>
      </c>
      <c r="AD144" s="108">
        <f t="shared" si="30"/>
        <v>1674</v>
      </c>
      <c r="AE144" s="108">
        <f t="shared" si="30"/>
        <v>8333</v>
      </c>
      <c r="AF144" s="108">
        <f t="shared" si="30"/>
        <v>150</v>
      </c>
      <c r="AG144" s="108">
        <f t="shared" si="30"/>
        <v>2020</v>
      </c>
      <c r="AH144" s="108">
        <f t="shared" si="30"/>
        <v>20000</v>
      </c>
      <c r="AI144" s="108">
        <f t="shared" si="30"/>
        <v>1500</v>
      </c>
      <c r="AJ144" s="108">
        <f t="shared" si="30"/>
        <v>3000</v>
      </c>
      <c r="AK144" s="108">
        <f t="shared" si="30"/>
        <v>250</v>
      </c>
      <c r="AL144" s="108">
        <f t="shared" si="30"/>
        <v>0</v>
      </c>
      <c r="AM144" s="108">
        <f t="shared" si="30"/>
        <v>200</v>
      </c>
      <c r="AN144" s="108">
        <f t="shared" si="30"/>
        <v>625</v>
      </c>
      <c r="AO144" s="108">
        <f t="shared" si="30"/>
        <v>0</v>
      </c>
      <c r="AP144" s="108">
        <f t="shared" si="30"/>
        <v>1833.35</v>
      </c>
      <c r="AQ144" s="108">
        <f t="shared" si="30"/>
        <v>111.1875</v>
      </c>
      <c r="AR144" s="108">
        <f t="shared" si="30"/>
        <v>63.75</v>
      </c>
      <c r="AS144" s="108">
        <f t="shared" si="30"/>
        <v>0</v>
      </c>
      <c r="AT144" s="108">
        <f t="shared" si="30"/>
        <v>0</v>
      </c>
      <c r="AU144" s="108">
        <f t="shared" si="30"/>
        <v>0</v>
      </c>
      <c r="AV144" s="108">
        <f t="shared" si="30"/>
        <v>800</v>
      </c>
      <c r="AW144" s="108">
        <f t="shared" si="30"/>
        <v>0</v>
      </c>
      <c r="AX144" s="108">
        <f t="shared" si="30"/>
        <v>5000</v>
      </c>
      <c r="AY144" s="108">
        <f t="shared" si="30"/>
        <v>1750</v>
      </c>
      <c r="AZ144" s="61"/>
    </row>
    <row r="145" spans="1:52" ht="12.75" customHeight="1" x14ac:dyDescent="0.3">
      <c r="A145" s="403">
        <v>6</v>
      </c>
      <c r="B145" s="398" t="s">
        <v>388</v>
      </c>
      <c r="C145" s="399">
        <f>SUM(C117)</f>
        <v>5000</v>
      </c>
      <c r="D145" s="400">
        <f t="shared" ref="D145" si="31">SUM(C145*-1)</f>
        <v>-5000</v>
      </c>
      <c r="E145" s="401" t="s">
        <v>390</v>
      </c>
      <c r="F145" s="402">
        <f t="shared" si="28"/>
        <v>42182.670000000027</v>
      </c>
      <c r="G145" s="77"/>
      <c r="H145" s="77"/>
      <c r="I145" s="78"/>
      <c r="J145" s="77"/>
      <c r="K145" s="38"/>
      <c r="L145" s="7"/>
      <c r="U145" s="61"/>
      <c r="V145" s="63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X145" s="31">
        <f>SUM(C145)</f>
        <v>5000</v>
      </c>
      <c r="AZ145" s="61">
        <f t="shared" si="26"/>
        <v>0</v>
      </c>
    </row>
    <row r="146" spans="1:52" ht="12.75" customHeight="1" x14ac:dyDescent="0.3">
      <c r="A146" s="8">
        <v>6</v>
      </c>
      <c r="B146" s="241" t="s">
        <v>177</v>
      </c>
      <c r="C146" s="242">
        <v>2000</v>
      </c>
      <c r="D146" s="238">
        <f t="shared" si="20"/>
        <v>-2000</v>
      </c>
      <c r="E146" s="243" t="s">
        <v>170</v>
      </c>
      <c r="F146" s="240">
        <f t="shared" si="28"/>
        <v>40182.670000000027</v>
      </c>
      <c r="G146" s="83"/>
      <c r="H146" s="77"/>
      <c r="I146" s="78"/>
      <c r="J146" s="77"/>
      <c r="K146" s="38"/>
      <c r="L146" s="7"/>
      <c r="U146" s="61"/>
      <c r="V146" s="63"/>
      <c r="W146" s="31">
        <v>250</v>
      </c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Y146" s="63">
        <v>1750</v>
      </c>
      <c r="AZ146" s="61">
        <f t="shared" si="26"/>
        <v>0</v>
      </c>
    </row>
    <row r="147" spans="1:52" s="405" customFormat="1" ht="12.75" customHeight="1" x14ac:dyDescent="0.3">
      <c r="A147" s="215">
        <v>6</v>
      </c>
      <c r="B147" s="479" t="s">
        <v>398</v>
      </c>
      <c r="C147" s="251">
        <v>2000</v>
      </c>
      <c r="D147" s="252">
        <f t="shared" ref="D147:D148" si="32">SUM(C147*-1)</f>
        <v>-2000</v>
      </c>
      <c r="E147" s="480" t="s">
        <v>397</v>
      </c>
      <c r="F147" s="254">
        <f t="shared" si="28"/>
        <v>38182.670000000027</v>
      </c>
      <c r="G147" s="83"/>
      <c r="H147" s="77"/>
      <c r="I147" s="78"/>
      <c r="J147" s="77"/>
      <c r="K147" s="38"/>
      <c r="L147" s="7"/>
      <c r="M147" s="7"/>
      <c r="N147" s="7"/>
      <c r="O147" s="7"/>
      <c r="P147" s="7"/>
      <c r="Q147" s="7"/>
      <c r="R147" s="7"/>
      <c r="S147" s="7"/>
      <c r="T147" s="7"/>
      <c r="U147" s="61"/>
      <c r="V147" s="63"/>
      <c r="W147" s="31"/>
      <c r="X147" s="31"/>
      <c r="Y147" s="31"/>
      <c r="Z147" s="31"/>
      <c r="AA147" s="31">
        <f>SUM(C147)</f>
        <v>2000</v>
      </c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7"/>
      <c r="AU147" s="7"/>
      <c r="AV147" s="7"/>
      <c r="AW147" s="7"/>
      <c r="AX147" s="7"/>
      <c r="AY147" s="63"/>
      <c r="AZ147" s="61"/>
    </row>
    <row r="148" spans="1:52" s="405" customFormat="1" ht="12.75" customHeight="1" x14ac:dyDescent="0.3">
      <c r="A148" s="215">
        <v>6</v>
      </c>
      <c r="B148" s="479" t="s">
        <v>401</v>
      </c>
      <c r="C148" s="251">
        <v>800</v>
      </c>
      <c r="D148" s="252">
        <f t="shared" si="32"/>
        <v>-800</v>
      </c>
      <c r="E148" s="480" t="s">
        <v>402</v>
      </c>
      <c r="F148" s="254">
        <f t="shared" si="28"/>
        <v>37382.670000000027</v>
      </c>
      <c r="G148" s="83"/>
      <c r="H148" s="77"/>
      <c r="I148" s="78"/>
      <c r="J148" s="77"/>
      <c r="K148" s="38"/>
      <c r="L148" s="7"/>
      <c r="M148" s="7"/>
      <c r="N148" s="7"/>
      <c r="O148" s="7"/>
      <c r="P148" s="7"/>
      <c r="Q148" s="7"/>
      <c r="R148" s="7"/>
      <c r="S148" s="7"/>
      <c r="T148" s="7"/>
      <c r="U148" s="61"/>
      <c r="V148" s="63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7"/>
      <c r="AU148" s="7"/>
      <c r="AV148" s="31">
        <f>SUM(C148)</f>
        <v>800</v>
      </c>
      <c r="AW148" s="7"/>
      <c r="AX148" s="7"/>
      <c r="AY148" s="63"/>
      <c r="AZ148" s="61"/>
    </row>
    <row r="149" spans="1:52" ht="12.75" customHeight="1" x14ac:dyDescent="0.3">
      <c r="A149" s="8">
        <v>6</v>
      </c>
      <c r="B149" s="241" t="s">
        <v>176</v>
      </c>
      <c r="C149" s="242">
        <v>7500</v>
      </c>
      <c r="D149" s="238">
        <f t="shared" si="20"/>
        <v>-7500</v>
      </c>
      <c r="E149" s="243" t="s">
        <v>170</v>
      </c>
      <c r="F149" s="478">
        <f t="shared" si="28"/>
        <v>29882.670000000027</v>
      </c>
      <c r="G149" s="83"/>
      <c r="H149" s="77">
        <v>5510</v>
      </c>
      <c r="I149" s="78">
        <f>C149</f>
        <v>7500</v>
      </c>
      <c r="J149" s="77"/>
      <c r="K149" s="38"/>
      <c r="L149" s="7"/>
      <c r="U149" s="61"/>
      <c r="V149" s="63"/>
      <c r="W149" s="31"/>
      <c r="X149" s="31"/>
      <c r="Y149" s="31"/>
      <c r="Z149" s="31"/>
      <c r="AA149" s="31"/>
      <c r="AB149" s="31">
        <f>SUM(I149)</f>
        <v>7500</v>
      </c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Z149" s="61">
        <f t="shared" si="26"/>
        <v>0</v>
      </c>
    </row>
    <row r="150" spans="1:52" ht="12.75" customHeight="1" x14ac:dyDescent="0.3">
      <c r="A150" s="8">
        <v>6</v>
      </c>
      <c r="B150" s="241" t="s">
        <v>175</v>
      </c>
      <c r="C150" s="242">
        <v>550</v>
      </c>
      <c r="D150" s="238">
        <f t="shared" si="20"/>
        <v>-550</v>
      </c>
      <c r="E150" s="243" t="s">
        <v>170</v>
      </c>
      <c r="F150" s="240">
        <f t="shared" si="28"/>
        <v>29332.670000000027</v>
      </c>
      <c r="G150" s="83"/>
      <c r="H150" s="77">
        <v>7650</v>
      </c>
      <c r="I150" s="78">
        <f>C150</f>
        <v>550</v>
      </c>
      <c r="J150" s="77"/>
      <c r="K150" s="38"/>
      <c r="L150" s="7"/>
      <c r="U150" s="61"/>
      <c r="V150" s="63"/>
      <c r="W150" s="31"/>
      <c r="X150" s="31"/>
      <c r="Y150" s="31"/>
      <c r="Z150" s="31"/>
      <c r="AA150" s="31"/>
      <c r="AB150" s="31"/>
      <c r="AC150" s="31">
        <f>SUM(I150)</f>
        <v>550</v>
      </c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Z150" s="61">
        <f t="shared" si="26"/>
        <v>0</v>
      </c>
    </row>
    <row r="151" spans="1:52" ht="12.75" customHeight="1" x14ac:dyDescent="0.3">
      <c r="A151" s="8">
        <v>6</v>
      </c>
      <c r="B151" s="241" t="s">
        <v>174</v>
      </c>
      <c r="C151" s="242">
        <v>1800</v>
      </c>
      <c r="D151" s="238">
        <f t="shared" si="20"/>
        <v>-1800</v>
      </c>
      <c r="E151" s="243" t="s">
        <v>173</v>
      </c>
      <c r="F151" s="240">
        <f t="shared" si="28"/>
        <v>27532.670000000027</v>
      </c>
      <c r="G151" s="83"/>
      <c r="H151" s="77">
        <v>7650</v>
      </c>
      <c r="I151" s="78">
        <f>C151</f>
        <v>1800</v>
      </c>
      <c r="J151" s="77"/>
      <c r="K151" s="38"/>
      <c r="L151" s="7"/>
      <c r="U151" s="61"/>
      <c r="V151" s="63"/>
      <c r="W151" s="31"/>
      <c r="X151" s="31"/>
      <c r="Y151" s="31"/>
      <c r="Z151" s="31"/>
      <c r="AA151" s="31"/>
      <c r="AB151" s="31"/>
      <c r="AC151" s="31">
        <f>SUM(I151)</f>
        <v>1800</v>
      </c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Z151" s="61">
        <f t="shared" si="26"/>
        <v>0</v>
      </c>
    </row>
    <row r="152" spans="1:52" ht="12.75" customHeight="1" x14ac:dyDescent="0.3">
      <c r="A152" s="42">
        <v>6</v>
      </c>
      <c r="B152" s="255" t="s">
        <v>172</v>
      </c>
      <c r="C152" s="256">
        <v>9917</v>
      </c>
      <c r="D152" s="257">
        <f t="shared" si="20"/>
        <v>-9917</v>
      </c>
      <c r="E152" s="259" t="s">
        <v>359</v>
      </c>
      <c r="F152" s="240">
        <f t="shared" si="28"/>
        <v>17615.670000000027</v>
      </c>
      <c r="G152" s="83"/>
      <c r="H152" s="77">
        <v>5750</v>
      </c>
      <c r="I152" s="80">
        <v>1584</v>
      </c>
      <c r="J152" s="77">
        <v>5520</v>
      </c>
      <c r="K152" s="38">
        <v>8333</v>
      </c>
      <c r="L152" s="7"/>
      <c r="U152" s="61"/>
      <c r="V152" s="63"/>
      <c r="W152" s="31"/>
      <c r="X152" s="31"/>
      <c r="Y152" s="31"/>
      <c r="Z152" s="31"/>
      <c r="AA152" s="31"/>
      <c r="AB152" s="31"/>
      <c r="AC152" s="31"/>
      <c r="AD152" s="31">
        <f>SUM(I152)</f>
        <v>1584</v>
      </c>
      <c r="AE152" s="31">
        <f>SUM(K152)</f>
        <v>8333</v>
      </c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Z152" s="61">
        <f t="shared" si="26"/>
        <v>0</v>
      </c>
    </row>
    <row r="153" spans="1:52" ht="12.75" customHeight="1" x14ac:dyDescent="0.3">
      <c r="A153" s="8">
        <v>6</v>
      </c>
      <c r="B153" s="241" t="s">
        <v>171</v>
      </c>
      <c r="C153" s="242">
        <v>34.950000000000003</v>
      </c>
      <c r="D153" s="238">
        <f t="shared" si="20"/>
        <v>-34.950000000000003</v>
      </c>
      <c r="E153" s="243" t="s">
        <v>170</v>
      </c>
      <c r="F153" s="240">
        <f t="shared" si="28"/>
        <v>17580.720000000027</v>
      </c>
      <c r="G153" s="83"/>
      <c r="H153" s="77">
        <v>7850</v>
      </c>
      <c r="I153" s="78">
        <f>C153</f>
        <v>34.950000000000003</v>
      </c>
      <c r="J153" s="77"/>
      <c r="K153" s="38"/>
      <c r="L153" s="7"/>
      <c r="U153" s="61">
        <f>SUM(I153)</f>
        <v>34.950000000000003</v>
      </c>
      <c r="V153" s="63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Z153" s="61">
        <f t="shared" si="26"/>
        <v>0</v>
      </c>
    </row>
    <row r="154" spans="1:52" ht="12.75" customHeight="1" x14ac:dyDescent="0.3">
      <c r="A154" s="8">
        <v>6</v>
      </c>
      <c r="B154" s="241" t="s">
        <v>169</v>
      </c>
      <c r="C154" s="242">
        <v>150</v>
      </c>
      <c r="D154" s="238">
        <f t="shared" si="20"/>
        <v>-150</v>
      </c>
      <c r="E154" s="243" t="s">
        <v>168</v>
      </c>
      <c r="F154" s="240">
        <f t="shared" si="28"/>
        <v>17430.720000000027</v>
      </c>
      <c r="G154" s="83"/>
      <c r="H154" s="77">
        <v>7090</v>
      </c>
      <c r="I154" s="78">
        <f>C154</f>
        <v>150</v>
      </c>
      <c r="J154" s="77"/>
      <c r="K154" s="38"/>
      <c r="L154" s="7"/>
      <c r="U154" s="61"/>
      <c r="V154" s="63"/>
      <c r="W154" s="31"/>
      <c r="X154" s="31"/>
      <c r="Y154" s="31"/>
      <c r="Z154" s="31"/>
      <c r="AA154" s="31"/>
      <c r="AB154" s="31"/>
      <c r="AC154" s="31"/>
      <c r="AD154" s="31"/>
      <c r="AE154" s="31"/>
      <c r="AF154" s="31">
        <f>SUM(I154)</f>
        <v>150</v>
      </c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Z154" s="61">
        <f t="shared" si="26"/>
        <v>0</v>
      </c>
    </row>
    <row r="155" spans="1:52" ht="12.75" customHeight="1" x14ac:dyDescent="0.3">
      <c r="A155" s="129">
        <v>6</v>
      </c>
      <c r="B155" s="260" t="s">
        <v>155</v>
      </c>
      <c r="C155" s="261">
        <v>13385</v>
      </c>
      <c r="D155" s="262">
        <v>-13385</v>
      </c>
      <c r="E155" s="263">
        <v>43895</v>
      </c>
      <c r="F155" s="264">
        <f t="shared" si="28"/>
        <v>4045.7200000000266</v>
      </c>
      <c r="G155" s="77"/>
      <c r="H155" s="77">
        <v>8570</v>
      </c>
      <c r="I155" s="80">
        <v>1010</v>
      </c>
      <c r="J155" s="77" t="s">
        <v>207</v>
      </c>
      <c r="K155" s="38" t="s">
        <v>207</v>
      </c>
      <c r="L155" s="7">
        <v>8510</v>
      </c>
      <c r="M155" s="38">
        <v>10000</v>
      </c>
      <c r="N155" s="50">
        <v>8520</v>
      </c>
      <c r="O155" s="38">
        <v>750</v>
      </c>
      <c r="P155" s="50">
        <v>8530</v>
      </c>
      <c r="Q155" s="123">
        <v>1500</v>
      </c>
      <c r="R155" s="50">
        <v>8590</v>
      </c>
      <c r="S155" s="38">
        <v>125</v>
      </c>
      <c r="T155" s="51">
        <v>13385</v>
      </c>
      <c r="U155" s="61"/>
      <c r="V155" s="63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>
        <v>1010</v>
      </c>
      <c r="AH155" s="31">
        <v>10000</v>
      </c>
      <c r="AI155" s="31">
        <v>750</v>
      </c>
      <c r="AJ155" s="31">
        <v>1500</v>
      </c>
      <c r="AK155" s="31">
        <v>125</v>
      </c>
      <c r="AL155" s="31"/>
      <c r="AM155" s="31"/>
      <c r="AN155" s="31"/>
      <c r="AO155" s="31"/>
      <c r="AP155" s="31"/>
      <c r="AQ155" s="31"/>
      <c r="AR155" s="31"/>
      <c r="AS155" s="31"/>
      <c r="AZ155" s="61">
        <v>0</v>
      </c>
    </row>
    <row r="156" spans="1:52" ht="12.75" customHeight="1" x14ac:dyDescent="0.3">
      <c r="A156" s="8">
        <v>6</v>
      </c>
      <c r="B156" s="241" t="s">
        <v>153</v>
      </c>
      <c r="C156" s="242">
        <v>100</v>
      </c>
      <c r="D156" s="238">
        <f t="shared" si="20"/>
        <v>-100</v>
      </c>
      <c r="E156" s="243" t="s">
        <v>166</v>
      </c>
      <c r="F156" s="240">
        <f t="shared" si="28"/>
        <v>3945.7200000000266</v>
      </c>
      <c r="G156" s="83"/>
      <c r="H156" s="77">
        <v>7850</v>
      </c>
      <c r="I156" s="78">
        <f>C156</f>
        <v>100</v>
      </c>
      <c r="J156" s="77"/>
      <c r="K156" s="38"/>
      <c r="L156" s="7"/>
      <c r="U156" s="61">
        <f>SUM(I156)</f>
        <v>100</v>
      </c>
      <c r="V156" s="63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Z156" s="61">
        <f t="shared" si="26"/>
        <v>0</v>
      </c>
    </row>
    <row r="157" spans="1:52" ht="12.75" customHeight="1" x14ac:dyDescent="0.3">
      <c r="A157" s="8">
        <v>6</v>
      </c>
      <c r="B157" s="241" t="s">
        <v>165</v>
      </c>
      <c r="C157" s="242">
        <v>200</v>
      </c>
      <c r="D157" s="238">
        <f t="shared" si="20"/>
        <v>-200</v>
      </c>
      <c r="E157" s="243" t="s">
        <v>161</v>
      </c>
      <c r="F157" s="240">
        <f t="shared" si="28"/>
        <v>3745.7200000000266</v>
      </c>
      <c r="G157" s="83"/>
      <c r="H157" s="77">
        <v>6770</v>
      </c>
      <c r="I157" s="78">
        <f>C157</f>
        <v>200</v>
      </c>
      <c r="J157" s="77"/>
      <c r="K157" s="38"/>
      <c r="L157" s="7"/>
      <c r="U157" s="61"/>
      <c r="V157" s="63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>
        <f>SUM(I157)</f>
        <v>200</v>
      </c>
      <c r="AN157" s="31"/>
      <c r="AO157" s="31"/>
      <c r="AP157" s="31"/>
      <c r="AQ157" s="31"/>
      <c r="AR157" s="31"/>
      <c r="AS157" s="31"/>
      <c r="AZ157" s="61">
        <f t="shared" si="26"/>
        <v>0</v>
      </c>
    </row>
    <row r="158" spans="1:52" ht="12.75" customHeight="1" x14ac:dyDescent="0.3">
      <c r="A158" s="8">
        <v>6</v>
      </c>
      <c r="B158" s="244" t="s">
        <v>164</v>
      </c>
      <c r="C158" s="242">
        <v>625</v>
      </c>
      <c r="D158" s="238">
        <f t="shared" si="20"/>
        <v>-625</v>
      </c>
      <c r="E158" s="243" t="s">
        <v>163</v>
      </c>
      <c r="F158" s="240">
        <f t="shared" si="28"/>
        <v>3120.7200000000266</v>
      </c>
      <c r="G158" s="83"/>
      <c r="H158" s="77">
        <v>5540</v>
      </c>
      <c r="I158" s="78">
        <f>C158</f>
        <v>625</v>
      </c>
      <c r="J158" s="77"/>
      <c r="K158" s="38"/>
      <c r="L158" s="7"/>
      <c r="U158" s="61"/>
      <c r="V158" s="63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>
        <f>SUM(I158)</f>
        <v>625</v>
      </c>
      <c r="AO158" s="31"/>
      <c r="AP158" s="31"/>
      <c r="AQ158" s="31"/>
      <c r="AR158" s="31"/>
      <c r="AS158" s="31"/>
      <c r="AZ158" s="61">
        <f t="shared" si="26"/>
        <v>0</v>
      </c>
    </row>
    <row r="159" spans="1:52" ht="12.75" customHeight="1" x14ac:dyDescent="0.3">
      <c r="A159" s="8">
        <v>6</v>
      </c>
      <c r="B159" s="241" t="s">
        <v>162</v>
      </c>
      <c r="C159" s="242">
        <v>60</v>
      </c>
      <c r="D159" s="238">
        <f t="shared" si="20"/>
        <v>-60</v>
      </c>
      <c r="E159" s="243" t="s">
        <v>161</v>
      </c>
      <c r="F159" s="240">
        <f t="shared" si="28"/>
        <v>3060.7200000000266</v>
      </c>
      <c r="G159" s="83"/>
      <c r="H159" s="77">
        <v>7850</v>
      </c>
      <c r="I159" s="78">
        <f>C159</f>
        <v>60</v>
      </c>
      <c r="J159" s="77"/>
      <c r="K159" s="38"/>
      <c r="L159" s="7"/>
      <c r="U159" s="61">
        <f>SUM(I159)</f>
        <v>60</v>
      </c>
      <c r="V159" s="63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Z159" s="61">
        <f t="shared" ref="AZ159:AZ172" si="33">SUM(U159:AY159)-C159</f>
        <v>0</v>
      </c>
    </row>
    <row r="160" spans="1:52" ht="12.75" customHeight="1" x14ac:dyDescent="0.3">
      <c r="A160" s="8">
        <v>6</v>
      </c>
      <c r="B160" s="244" t="s">
        <v>160</v>
      </c>
      <c r="C160" s="237">
        <v>1833.35</v>
      </c>
      <c r="D160" s="238">
        <f t="shared" si="20"/>
        <v>-1833.35</v>
      </c>
      <c r="E160" s="243" t="s">
        <v>159</v>
      </c>
      <c r="F160" s="240">
        <f t="shared" si="28"/>
        <v>1227.3700000000267</v>
      </c>
      <c r="G160" s="83"/>
      <c r="H160" s="77">
        <v>6590</v>
      </c>
      <c r="I160" s="78">
        <f>C160</f>
        <v>1833.35</v>
      </c>
      <c r="J160" s="77"/>
      <c r="K160" s="38"/>
      <c r="L160" s="7"/>
      <c r="U160" s="61"/>
      <c r="V160" s="63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P160" s="31">
        <f>SUM(I160)</f>
        <v>1833.35</v>
      </c>
      <c r="AQ160" s="31"/>
      <c r="AR160" s="31"/>
      <c r="AS160" s="31"/>
      <c r="AZ160" s="61">
        <f t="shared" si="33"/>
        <v>0</v>
      </c>
    </row>
    <row r="161" spans="1:53" ht="12.75" customHeight="1" x14ac:dyDescent="0.3">
      <c r="A161" s="135">
        <v>6</v>
      </c>
      <c r="B161" s="265" t="s">
        <v>157</v>
      </c>
      <c r="C161" s="276"/>
      <c r="D161" s="267">
        <v>40630.800000000003</v>
      </c>
      <c r="E161" s="268" t="s">
        <v>342</v>
      </c>
      <c r="F161" s="269">
        <f t="shared" si="28"/>
        <v>41858.170000000027</v>
      </c>
      <c r="G161" s="83"/>
      <c r="H161" s="77" t="s">
        <v>207</v>
      </c>
      <c r="I161" s="77" t="s">
        <v>207</v>
      </c>
      <c r="J161" s="77"/>
      <c r="K161" s="38"/>
      <c r="L161" s="7"/>
      <c r="U161" s="61"/>
      <c r="V161" s="63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Z161" s="61">
        <f t="shared" si="33"/>
        <v>0</v>
      </c>
    </row>
    <row r="162" spans="1:53" ht="12.75" customHeight="1" x14ac:dyDescent="0.3">
      <c r="A162" s="135">
        <v>6</v>
      </c>
      <c r="B162" s="265" t="s">
        <v>157</v>
      </c>
      <c r="C162" s="276"/>
      <c r="D162" s="141">
        <v>262637.08</v>
      </c>
      <c r="E162" s="268" t="s">
        <v>343</v>
      </c>
      <c r="F162" s="269">
        <f t="shared" si="28"/>
        <v>304495.25000000006</v>
      </c>
      <c r="G162" s="83"/>
      <c r="H162" s="77" t="s">
        <v>207</v>
      </c>
      <c r="I162" s="77" t="s">
        <v>207</v>
      </c>
      <c r="J162" s="77"/>
      <c r="K162" s="38"/>
      <c r="L162" s="7"/>
      <c r="U162" s="61"/>
      <c r="V162" s="63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Z162" s="61">
        <f t="shared" si="33"/>
        <v>0</v>
      </c>
    </row>
    <row r="163" spans="1:53" ht="12.75" customHeight="1" x14ac:dyDescent="0.3">
      <c r="A163" s="8">
        <v>6</v>
      </c>
      <c r="B163" s="241" t="s">
        <v>155</v>
      </c>
      <c r="C163" s="242">
        <v>13385</v>
      </c>
      <c r="D163" s="238">
        <v>-13385</v>
      </c>
      <c r="E163" s="243">
        <v>43895</v>
      </c>
      <c r="F163" s="240">
        <f t="shared" si="28"/>
        <v>291110.25000000006</v>
      </c>
      <c r="G163" s="77"/>
      <c r="H163" s="77">
        <v>8570</v>
      </c>
      <c r="I163" s="80">
        <v>1010</v>
      </c>
      <c r="J163" s="77" t="s">
        <v>207</v>
      </c>
      <c r="K163" s="38" t="s">
        <v>207</v>
      </c>
      <c r="L163" s="7">
        <v>8510</v>
      </c>
      <c r="M163" s="38">
        <v>10000</v>
      </c>
      <c r="N163" s="50">
        <v>8520</v>
      </c>
      <c r="O163" s="38">
        <v>750</v>
      </c>
      <c r="P163" s="50">
        <v>8530</v>
      </c>
      <c r="Q163" s="123">
        <v>1500</v>
      </c>
      <c r="R163" s="50">
        <v>8590</v>
      </c>
      <c r="S163" s="38">
        <v>125</v>
      </c>
      <c r="T163" s="51">
        <v>13385</v>
      </c>
      <c r="U163" s="61"/>
      <c r="V163" s="63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>
        <v>1010</v>
      </c>
      <c r="AH163" s="31">
        <v>10000</v>
      </c>
      <c r="AI163" s="31">
        <v>750</v>
      </c>
      <c r="AJ163" s="31">
        <v>1500</v>
      </c>
      <c r="AK163" s="31">
        <v>125</v>
      </c>
      <c r="AL163" s="31"/>
      <c r="AM163" s="31"/>
      <c r="AN163" s="31"/>
      <c r="AO163" s="31"/>
      <c r="AP163" s="31"/>
      <c r="AQ163" s="31"/>
      <c r="AR163" s="31"/>
      <c r="AS163" s="31"/>
      <c r="AZ163" s="61">
        <v>0</v>
      </c>
    </row>
    <row r="164" spans="1:53" ht="12.75" customHeight="1" x14ac:dyDescent="0.3">
      <c r="A164" s="8">
        <v>6</v>
      </c>
      <c r="B164" s="241" t="s">
        <v>153</v>
      </c>
      <c r="C164" s="242">
        <v>100</v>
      </c>
      <c r="D164" s="238">
        <f t="shared" ref="D164:D173" si="34">SUM(C164*-1)</f>
        <v>-100</v>
      </c>
      <c r="E164" s="243" t="s">
        <v>152</v>
      </c>
      <c r="F164" s="240">
        <f t="shared" si="28"/>
        <v>291010.25000000006</v>
      </c>
      <c r="G164" s="83"/>
      <c r="H164" s="77">
        <v>7850</v>
      </c>
      <c r="I164" s="78">
        <f>C164</f>
        <v>100</v>
      </c>
      <c r="J164" s="77"/>
      <c r="K164" s="38"/>
      <c r="L164" s="7"/>
      <c r="U164" s="61">
        <f>SUM(I164)</f>
        <v>100</v>
      </c>
      <c r="V164" s="63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Z164" s="61">
        <f t="shared" si="33"/>
        <v>0</v>
      </c>
    </row>
    <row r="165" spans="1:53" ht="12.75" customHeight="1" x14ac:dyDescent="0.3">
      <c r="A165" s="8">
        <v>6</v>
      </c>
      <c r="B165" s="244" t="s">
        <v>266</v>
      </c>
      <c r="C165" s="242">
        <f>SUM('CCD - Mnthly Bills'!C20)</f>
        <v>1523.3625000000002</v>
      </c>
      <c r="D165" s="238">
        <f t="shared" si="34"/>
        <v>-1523.3625000000002</v>
      </c>
      <c r="E165" s="243" t="s">
        <v>268</v>
      </c>
      <c r="F165" s="240">
        <f t="shared" si="28"/>
        <v>289486.88750000007</v>
      </c>
      <c r="G165" s="83"/>
      <c r="H165" s="570" t="s">
        <v>264</v>
      </c>
      <c r="I165" s="570"/>
      <c r="J165" s="77"/>
      <c r="K165" s="38"/>
      <c r="L165" s="7"/>
      <c r="U165" s="61"/>
      <c r="V165" s="63"/>
      <c r="W165" s="31">
        <f>SUM(W135)</f>
        <v>104.73750000000001</v>
      </c>
      <c r="X165" s="31"/>
      <c r="Y165" s="31">
        <f>SUM(Y135)</f>
        <v>778.6875</v>
      </c>
      <c r="Z165" s="31"/>
      <c r="AA165" s="31">
        <f>SUM(AA135)</f>
        <v>375</v>
      </c>
      <c r="AB165" s="31"/>
      <c r="AC165" s="31"/>
      <c r="AD165" s="31">
        <f>SUM(AD135)</f>
        <v>90</v>
      </c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>
        <f>SUM(AQ135)</f>
        <v>111.1875</v>
      </c>
      <c r="AR165" s="31">
        <f>SUM(AR135)</f>
        <v>63.75</v>
      </c>
      <c r="AS165" s="31"/>
      <c r="AZ165" s="61">
        <f t="shared" si="33"/>
        <v>0</v>
      </c>
    </row>
    <row r="166" spans="1:53" ht="12.75" customHeight="1" x14ac:dyDescent="0.3">
      <c r="A166" s="8">
        <v>6</v>
      </c>
      <c r="B166" s="241" t="s">
        <v>150</v>
      </c>
      <c r="C166" s="242">
        <v>458.65</v>
      </c>
      <c r="D166" s="238">
        <f t="shared" si="34"/>
        <v>-458.65</v>
      </c>
      <c r="E166" s="243" t="s">
        <v>149</v>
      </c>
      <c r="F166" s="240">
        <f t="shared" si="28"/>
        <v>289028.23750000005</v>
      </c>
      <c r="G166" s="83"/>
      <c r="H166" s="77">
        <v>7910</v>
      </c>
      <c r="I166" s="78">
        <f t="shared" ref="I166:I173" si="35">C166</f>
        <v>458.65</v>
      </c>
      <c r="J166" s="77"/>
      <c r="K166" s="38"/>
      <c r="L166" s="7"/>
      <c r="U166" s="61"/>
      <c r="V166" s="63">
        <f>SUM(I166)</f>
        <v>458.65</v>
      </c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Z166" s="61">
        <f t="shared" si="33"/>
        <v>0</v>
      </c>
    </row>
    <row r="167" spans="1:53" ht="12.75" customHeight="1" x14ac:dyDescent="0.3">
      <c r="A167" s="8">
        <v>6</v>
      </c>
      <c r="B167" s="241" t="s">
        <v>148</v>
      </c>
      <c r="C167" s="242">
        <v>150</v>
      </c>
      <c r="D167" s="238">
        <f t="shared" si="34"/>
        <v>-150</v>
      </c>
      <c r="E167" s="243" t="s">
        <v>147</v>
      </c>
      <c r="F167" s="240">
        <f t="shared" si="28"/>
        <v>288878.23750000005</v>
      </c>
      <c r="G167" s="83"/>
      <c r="H167" s="77">
        <v>7950</v>
      </c>
      <c r="I167" s="78">
        <f t="shared" si="35"/>
        <v>150</v>
      </c>
      <c r="J167" s="77"/>
      <c r="K167" s="38"/>
      <c r="L167" s="7"/>
      <c r="U167" s="61"/>
      <c r="V167" s="63"/>
      <c r="W167" s="31">
        <f>SUM(I167)</f>
        <v>150</v>
      </c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Z167" s="61">
        <f t="shared" si="33"/>
        <v>0</v>
      </c>
    </row>
    <row r="168" spans="1:53" ht="12.75" customHeight="1" x14ac:dyDescent="0.3">
      <c r="A168" s="8">
        <v>6</v>
      </c>
      <c r="B168" s="241" t="s">
        <v>146</v>
      </c>
      <c r="C168" s="242">
        <v>149.99</v>
      </c>
      <c r="D168" s="238">
        <f t="shared" si="34"/>
        <v>-149.99</v>
      </c>
      <c r="E168" s="243" t="s">
        <v>145</v>
      </c>
      <c r="F168" s="240">
        <f t="shared" si="28"/>
        <v>288728.24750000006</v>
      </c>
      <c r="G168" s="83"/>
      <c r="H168" s="77">
        <v>7950</v>
      </c>
      <c r="I168" s="78">
        <f t="shared" si="35"/>
        <v>149.99</v>
      </c>
      <c r="J168" s="77"/>
      <c r="K168" s="38"/>
      <c r="L168" s="7"/>
      <c r="U168" s="61"/>
      <c r="V168" s="63"/>
      <c r="W168" s="31">
        <f>SUM(I168)</f>
        <v>149.99</v>
      </c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Z168" s="61">
        <f t="shared" si="33"/>
        <v>0</v>
      </c>
    </row>
    <row r="169" spans="1:53" ht="12.75" customHeight="1" x14ac:dyDescent="0.3">
      <c r="A169" s="8">
        <v>6</v>
      </c>
      <c r="B169" s="241" t="s">
        <v>144</v>
      </c>
      <c r="C169" s="242">
        <v>300</v>
      </c>
      <c r="D169" s="238">
        <f t="shared" si="34"/>
        <v>-300</v>
      </c>
      <c r="E169" s="243" t="s">
        <v>138</v>
      </c>
      <c r="F169" s="240">
        <f t="shared" si="28"/>
        <v>288428.24750000006</v>
      </c>
      <c r="G169" s="83"/>
      <c r="H169" s="77">
        <v>7950</v>
      </c>
      <c r="I169" s="78">
        <f t="shared" si="35"/>
        <v>300</v>
      </c>
      <c r="J169" s="77"/>
      <c r="K169" s="38"/>
      <c r="L169" s="7"/>
      <c r="U169" s="61"/>
      <c r="V169" s="63"/>
      <c r="W169" s="31">
        <f>SUM(I169)</f>
        <v>300</v>
      </c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Z169" s="61">
        <f t="shared" si="33"/>
        <v>0</v>
      </c>
    </row>
    <row r="170" spans="1:53" ht="12.75" customHeight="1" x14ac:dyDescent="0.3">
      <c r="A170" s="8">
        <v>6</v>
      </c>
      <c r="B170" s="244" t="s">
        <v>143</v>
      </c>
      <c r="C170" s="242">
        <v>75</v>
      </c>
      <c r="D170" s="238">
        <f t="shared" si="34"/>
        <v>-75</v>
      </c>
      <c r="E170" s="243" t="s">
        <v>138</v>
      </c>
      <c r="F170" s="240">
        <f t="shared" si="28"/>
        <v>288353.24750000006</v>
      </c>
      <c r="G170" s="83"/>
      <c r="H170" s="77">
        <v>7950</v>
      </c>
      <c r="I170" s="78">
        <f t="shared" si="35"/>
        <v>75</v>
      </c>
      <c r="J170" s="77"/>
      <c r="K170" s="38"/>
      <c r="L170" s="7"/>
      <c r="U170" s="61"/>
      <c r="V170" s="63"/>
      <c r="W170" s="31">
        <f>SUM(I170)</f>
        <v>75</v>
      </c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Z170" s="61">
        <f t="shared" si="33"/>
        <v>0</v>
      </c>
    </row>
    <row r="171" spans="1:53" ht="12.75" customHeight="1" x14ac:dyDescent="0.3">
      <c r="A171" s="8">
        <v>6</v>
      </c>
      <c r="B171" s="241" t="s">
        <v>142</v>
      </c>
      <c r="C171" s="242">
        <v>2500</v>
      </c>
      <c r="D171" s="238">
        <f t="shared" si="34"/>
        <v>-2500</v>
      </c>
      <c r="E171" s="243" t="s">
        <v>140</v>
      </c>
      <c r="F171" s="240">
        <f t="shared" si="28"/>
        <v>285853.24750000006</v>
      </c>
      <c r="G171" s="83"/>
      <c r="H171" s="77">
        <v>5710</v>
      </c>
      <c r="I171" s="78">
        <f t="shared" si="35"/>
        <v>2500</v>
      </c>
      <c r="J171" s="77"/>
      <c r="K171" s="38"/>
      <c r="L171" s="7"/>
      <c r="U171" s="61"/>
      <c r="V171" s="63"/>
      <c r="W171" s="31"/>
      <c r="X171" s="31"/>
      <c r="Y171" s="31"/>
      <c r="Z171" s="31">
        <f>SUM(I171)</f>
        <v>2500</v>
      </c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Z171" s="61">
        <f t="shared" si="33"/>
        <v>0</v>
      </c>
    </row>
    <row r="172" spans="1:53" ht="12.75" customHeight="1" x14ac:dyDescent="0.3">
      <c r="A172" s="8">
        <v>6</v>
      </c>
      <c r="B172" s="241" t="s">
        <v>141</v>
      </c>
      <c r="C172" s="242">
        <v>1080</v>
      </c>
      <c r="D172" s="238">
        <f t="shared" si="34"/>
        <v>-1080</v>
      </c>
      <c r="E172" s="243" t="s">
        <v>140</v>
      </c>
      <c r="F172" s="240">
        <f t="shared" si="28"/>
        <v>284773.24750000006</v>
      </c>
      <c r="G172" s="83"/>
      <c r="H172" s="77">
        <v>6730</v>
      </c>
      <c r="I172" s="78">
        <f t="shared" si="35"/>
        <v>1080</v>
      </c>
      <c r="J172" s="77"/>
      <c r="K172" s="38"/>
      <c r="L172" s="7"/>
      <c r="U172" s="61"/>
      <c r="V172" s="63"/>
      <c r="W172" s="31"/>
      <c r="X172" s="31">
        <f>SUM(I172)</f>
        <v>1080</v>
      </c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Z172" s="61">
        <f t="shared" si="33"/>
        <v>0</v>
      </c>
    </row>
    <row r="173" spans="1:53" ht="12.75" customHeight="1" thickBot="1" x14ac:dyDescent="0.35">
      <c r="A173" s="215">
        <v>6</v>
      </c>
      <c r="B173" s="250" t="s">
        <v>348</v>
      </c>
      <c r="C173" s="277">
        <v>5000</v>
      </c>
      <c r="D173" s="252">
        <f t="shared" si="34"/>
        <v>-5000</v>
      </c>
      <c r="E173" s="253" t="s">
        <v>374</v>
      </c>
      <c r="F173" s="254">
        <f t="shared" si="28"/>
        <v>279773.24750000006</v>
      </c>
      <c r="G173" s="77"/>
      <c r="H173" s="77">
        <v>5130</v>
      </c>
      <c r="I173" s="78">
        <f t="shared" si="35"/>
        <v>5000</v>
      </c>
      <c r="J173" s="77"/>
      <c r="K173" s="38"/>
      <c r="L173" s="7"/>
      <c r="U173" s="61"/>
      <c r="V173" s="63"/>
      <c r="W173" s="63"/>
      <c r="X173" s="63"/>
      <c r="Y173" s="63"/>
      <c r="Z173" s="63"/>
      <c r="AA173" s="63">
        <f>SUM(I173)</f>
        <v>5000</v>
      </c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2"/>
      <c r="AU173" s="62"/>
      <c r="AV173" s="62"/>
      <c r="AW173" s="62"/>
      <c r="AX173" s="62"/>
      <c r="AZ173" s="61">
        <f t="shared" ref="AZ173" si="36">SUM(U173:AY173)-C173</f>
        <v>0</v>
      </c>
    </row>
    <row r="174" spans="1:53" ht="12.75" customHeight="1" thickTop="1" thickBot="1" x14ac:dyDescent="0.35">
      <c r="C174" s="242">
        <f>SUM(C5:C173)</f>
        <v>481695.03249999997</v>
      </c>
      <c r="E174" s="279" t="s">
        <v>287</v>
      </c>
      <c r="F174" s="240">
        <f t="shared" si="28"/>
        <v>279773.24750000006</v>
      </c>
      <c r="T174" s="31">
        <f>SUM(U174:BB174)</f>
        <v>70677.302499999991</v>
      </c>
      <c r="U174" s="111">
        <f t="shared" ref="U174:AY174" si="37">SUM(U145:U173)</f>
        <v>294.95</v>
      </c>
      <c r="V174" s="112">
        <f t="shared" si="37"/>
        <v>458.65</v>
      </c>
      <c r="W174" s="112">
        <f t="shared" si="37"/>
        <v>1029.7275</v>
      </c>
      <c r="X174" s="112">
        <f t="shared" si="37"/>
        <v>1080</v>
      </c>
      <c r="Y174" s="112">
        <f t="shared" si="37"/>
        <v>778.6875</v>
      </c>
      <c r="Z174" s="112">
        <f t="shared" si="37"/>
        <v>2500</v>
      </c>
      <c r="AA174" s="112">
        <f t="shared" si="37"/>
        <v>7375</v>
      </c>
      <c r="AB174" s="112">
        <f t="shared" si="37"/>
        <v>7500</v>
      </c>
      <c r="AC174" s="112">
        <f t="shared" si="37"/>
        <v>2350</v>
      </c>
      <c r="AD174" s="112">
        <f t="shared" si="37"/>
        <v>1674</v>
      </c>
      <c r="AE174" s="112">
        <f t="shared" si="37"/>
        <v>8333</v>
      </c>
      <c r="AF174" s="112">
        <f t="shared" si="37"/>
        <v>150</v>
      </c>
      <c r="AG174" s="112">
        <f t="shared" si="37"/>
        <v>2020</v>
      </c>
      <c r="AH174" s="112">
        <f t="shared" si="37"/>
        <v>20000</v>
      </c>
      <c r="AI174" s="112">
        <f t="shared" si="37"/>
        <v>1500</v>
      </c>
      <c r="AJ174" s="112">
        <f t="shared" si="37"/>
        <v>3000</v>
      </c>
      <c r="AK174" s="112">
        <f t="shared" si="37"/>
        <v>250</v>
      </c>
      <c r="AL174" s="112">
        <f t="shared" si="37"/>
        <v>0</v>
      </c>
      <c r="AM174" s="112">
        <f t="shared" si="37"/>
        <v>200</v>
      </c>
      <c r="AN174" s="112">
        <f t="shared" si="37"/>
        <v>625</v>
      </c>
      <c r="AO174" s="112">
        <f t="shared" si="37"/>
        <v>0</v>
      </c>
      <c r="AP174" s="112">
        <f t="shared" si="37"/>
        <v>1833.35</v>
      </c>
      <c r="AQ174" s="112">
        <f t="shared" si="37"/>
        <v>111.1875</v>
      </c>
      <c r="AR174" s="112">
        <f t="shared" si="37"/>
        <v>63.75</v>
      </c>
      <c r="AS174" s="112">
        <f t="shared" si="37"/>
        <v>0</v>
      </c>
      <c r="AT174" s="112">
        <f t="shared" si="37"/>
        <v>0</v>
      </c>
      <c r="AU174" s="112">
        <f t="shared" si="37"/>
        <v>0</v>
      </c>
      <c r="AV174" s="112">
        <f t="shared" si="37"/>
        <v>800</v>
      </c>
      <c r="AW174" s="112">
        <f t="shared" si="37"/>
        <v>0</v>
      </c>
      <c r="AX174" s="112">
        <f t="shared" si="37"/>
        <v>5000</v>
      </c>
      <c r="AY174" s="112">
        <f t="shared" si="37"/>
        <v>1750</v>
      </c>
      <c r="AZ174" s="113"/>
      <c r="BA174" s="98"/>
    </row>
    <row r="175" spans="1:53" ht="12.75" customHeight="1" thickTop="1" x14ac:dyDescent="0.3">
      <c r="A175" s="142">
        <v>6</v>
      </c>
      <c r="B175" s="270" t="s">
        <v>346</v>
      </c>
      <c r="C175" s="280"/>
      <c r="D175" s="249">
        <v>-95000</v>
      </c>
      <c r="E175" s="280" t="s">
        <v>347</v>
      </c>
      <c r="F175" s="249">
        <f t="shared" si="28"/>
        <v>184773.24750000006</v>
      </c>
      <c r="T175" s="31">
        <f>SUM(T174-C174)</f>
        <v>-411017.73</v>
      </c>
      <c r="U175" s="107">
        <f t="shared" ref="U175:AY175" si="38">SUM(U174+U144+U116+U86+U52+U17)</f>
        <v>1574.75</v>
      </c>
      <c r="V175" s="33">
        <f t="shared" si="38"/>
        <v>3501.9</v>
      </c>
      <c r="W175" s="33">
        <f t="shared" si="38"/>
        <v>5672.9775</v>
      </c>
      <c r="X175" s="33">
        <f t="shared" si="38"/>
        <v>76800</v>
      </c>
      <c r="Y175" s="33">
        <f t="shared" si="38"/>
        <v>3893.4375</v>
      </c>
      <c r="Z175" s="33">
        <f t="shared" si="38"/>
        <v>15000</v>
      </c>
      <c r="AA175" s="33">
        <f t="shared" si="38"/>
        <v>42875</v>
      </c>
      <c r="AB175" s="33">
        <f t="shared" si="38"/>
        <v>37500</v>
      </c>
      <c r="AC175" s="33">
        <f t="shared" si="38"/>
        <v>11750</v>
      </c>
      <c r="AD175" s="33">
        <f t="shared" si="38"/>
        <v>8370</v>
      </c>
      <c r="AE175" s="33">
        <f t="shared" si="38"/>
        <v>41665</v>
      </c>
      <c r="AF175" s="33">
        <f t="shared" si="38"/>
        <v>750</v>
      </c>
      <c r="AG175" s="33">
        <f t="shared" si="38"/>
        <v>10830</v>
      </c>
      <c r="AH175" s="33">
        <f t="shared" si="38"/>
        <v>107200</v>
      </c>
      <c r="AI175" s="33">
        <f t="shared" si="38"/>
        <v>8000</v>
      </c>
      <c r="AJ175" s="33">
        <f t="shared" si="38"/>
        <v>16000</v>
      </c>
      <c r="AK175" s="33">
        <f t="shared" si="38"/>
        <v>1250</v>
      </c>
      <c r="AL175" s="33">
        <f t="shared" si="38"/>
        <v>1500</v>
      </c>
      <c r="AM175" s="33">
        <f t="shared" si="38"/>
        <v>1000</v>
      </c>
      <c r="AN175" s="33">
        <f t="shared" si="38"/>
        <v>3125</v>
      </c>
      <c r="AO175" s="33">
        <f t="shared" si="38"/>
        <v>330.78</v>
      </c>
      <c r="AP175" s="33">
        <f t="shared" si="38"/>
        <v>9166.75</v>
      </c>
      <c r="AQ175" s="33">
        <f t="shared" si="38"/>
        <v>555.9375</v>
      </c>
      <c r="AR175" s="33">
        <f t="shared" si="38"/>
        <v>318.75</v>
      </c>
      <c r="AS175" s="33">
        <f t="shared" si="38"/>
        <v>1146</v>
      </c>
      <c r="AT175" s="33">
        <f t="shared" si="38"/>
        <v>19304.68</v>
      </c>
      <c r="AU175" s="33">
        <f t="shared" si="38"/>
        <v>8114.0700000000006</v>
      </c>
      <c r="AV175" s="33">
        <f t="shared" si="38"/>
        <v>4750</v>
      </c>
      <c r="AW175" s="33">
        <f t="shared" si="38"/>
        <v>4500</v>
      </c>
      <c r="AX175" s="33">
        <f t="shared" si="38"/>
        <v>25000</v>
      </c>
      <c r="AY175" s="33">
        <f t="shared" si="38"/>
        <v>10250</v>
      </c>
      <c r="AZ175" s="107">
        <f>SUM(U175:AY175)</f>
        <v>481695.03250000003</v>
      </c>
    </row>
    <row r="176" spans="1:53" ht="12.75" customHeight="1" thickBot="1" x14ac:dyDescent="0.35">
      <c r="K176" s="40"/>
      <c r="U176" s="64">
        <v>7850</v>
      </c>
      <c r="V176" s="65">
        <v>7910</v>
      </c>
      <c r="W176" s="65">
        <v>7950</v>
      </c>
      <c r="X176" s="65">
        <v>6730</v>
      </c>
      <c r="Y176" s="65">
        <v>7010</v>
      </c>
      <c r="Z176" s="65">
        <v>5710</v>
      </c>
      <c r="AA176" s="65">
        <v>5130</v>
      </c>
      <c r="AB176" s="65">
        <v>5510</v>
      </c>
      <c r="AC176" s="65">
        <v>7650</v>
      </c>
      <c r="AD176" s="65">
        <v>5750</v>
      </c>
      <c r="AE176" s="65">
        <v>5520</v>
      </c>
      <c r="AF176" s="65">
        <v>7090</v>
      </c>
      <c r="AG176" s="65">
        <v>8570</v>
      </c>
      <c r="AH176" s="65">
        <v>8510</v>
      </c>
      <c r="AI176" s="65">
        <v>8520</v>
      </c>
      <c r="AJ176" s="65">
        <v>8530</v>
      </c>
      <c r="AK176" s="65">
        <v>8590</v>
      </c>
      <c r="AL176" s="65">
        <v>5170</v>
      </c>
      <c r="AM176" s="65">
        <v>6770</v>
      </c>
      <c r="AN176" s="65">
        <v>5540</v>
      </c>
      <c r="AO176" s="65">
        <f t="shared" ref="AO176:AY176" si="39">SUM(AO4)</f>
        <v>6590</v>
      </c>
      <c r="AP176" s="65">
        <f t="shared" si="39"/>
        <v>6510</v>
      </c>
      <c r="AQ176" s="65">
        <f t="shared" si="39"/>
        <v>5780</v>
      </c>
      <c r="AR176" s="65">
        <f t="shared" si="39"/>
        <v>8540</v>
      </c>
      <c r="AS176" s="65">
        <f t="shared" si="39"/>
        <v>6720</v>
      </c>
      <c r="AT176" s="65">
        <f t="shared" si="39"/>
        <v>5880</v>
      </c>
      <c r="AU176" s="65">
        <f t="shared" si="39"/>
        <v>6550</v>
      </c>
      <c r="AV176" s="65">
        <f t="shared" si="39"/>
        <v>7010</v>
      </c>
      <c r="AW176" s="65">
        <f t="shared" ref="AW176" si="40">SUM(AW4)</f>
        <v>5840</v>
      </c>
      <c r="AX176" s="65">
        <f t="shared" si="39"/>
        <v>9999</v>
      </c>
      <c r="AY176" s="65">
        <f t="shared" si="39"/>
        <v>7280</v>
      </c>
      <c r="AZ176" s="100">
        <f>SUM(AZ175-C174)</f>
        <v>5.8207660913467407E-11</v>
      </c>
    </row>
    <row r="177" spans="1:53" ht="12.75" customHeight="1" x14ac:dyDescent="0.3">
      <c r="B177" s="571" t="s">
        <v>137</v>
      </c>
      <c r="C177" s="571"/>
      <c r="D177" s="571"/>
      <c r="E177" s="571"/>
      <c r="F177" s="571"/>
      <c r="G177" s="571"/>
      <c r="H177" s="571"/>
      <c r="I177" s="571"/>
      <c r="J177" s="571"/>
      <c r="K177" s="571"/>
      <c r="L177" s="571"/>
      <c r="M177" s="571"/>
      <c r="N177" s="571"/>
      <c r="O177" s="571"/>
      <c r="P177" s="571"/>
      <c r="Q177" s="571"/>
      <c r="R177" s="571"/>
      <c r="S177" s="571"/>
      <c r="T177" s="571"/>
      <c r="U177" s="571"/>
      <c r="V177" s="571"/>
      <c r="W177" s="571"/>
      <c r="X177" s="571"/>
    </row>
    <row r="178" spans="1:53" ht="12.75" customHeight="1" x14ac:dyDescent="0.3">
      <c r="B178" s="572" t="s">
        <v>136</v>
      </c>
      <c r="C178" s="572"/>
      <c r="D178" s="572"/>
      <c r="E178" s="572"/>
      <c r="F178" s="572"/>
      <c r="G178" s="572"/>
      <c r="H178" s="572"/>
      <c r="I178" s="572"/>
      <c r="J178" s="572"/>
      <c r="K178" s="572"/>
      <c r="L178" s="572"/>
      <c r="M178" s="572"/>
      <c r="N178" s="572"/>
      <c r="O178" s="572"/>
      <c r="P178" s="572"/>
      <c r="Q178" s="572"/>
      <c r="R178" s="572"/>
      <c r="S178" s="572"/>
      <c r="T178" s="572"/>
      <c r="U178" s="572"/>
      <c r="V178" s="572"/>
      <c r="W178" s="572"/>
      <c r="X178" s="572"/>
    </row>
    <row r="179" spans="1:53" ht="12.75" customHeight="1" x14ac:dyDescent="0.3">
      <c r="B179" s="95" t="s">
        <v>135</v>
      </c>
      <c r="C179" s="95" t="s">
        <v>134</v>
      </c>
      <c r="D179" s="565" t="s">
        <v>133</v>
      </c>
      <c r="E179" s="565"/>
      <c r="F179" s="95" t="s">
        <v>132</v>
      </c>
      <c r="U179" s="26" t="s">
        <v>131</v>
      </c>
      <c r="V179" s="25"/>
      <c r="W179" s="24" t="s">
        <v>130</v>
      </c>
      <c r="X179" s="23" t="s">
        <v>129</v>
      </c>
    </row>
    <row r="180" spans="1:53" ht="12.75" customHeight="1" x14ac:dyDescent="0.3">
      <c r="C180" s="244" t="s">
        <v>128</v>
      </c>
      <c r="D180" s="244">
        <v>4308159</v>
      </c>
      <c r="E180" s="244" t="s">
        <v>114</v>
      </c>
      <c r="F180" s="281">
        <v>78820</v>
      </c>
      <c r="U180" s="576" t="s">
        <v>275</v>
      </c>
      <c r="V180" s="577"/>
      <c r="W180" s="18">
        <f>SUM(F180/2)</f>
        <v>39410</v>
      </c>
      <c r="X180" s="14">
        <v>2</v>
      </c>
    </row>
    <row r="181" spans="1:53" ht="12.75" customHeight="1" x14ac:dyDescent="0.3">
      <c r="B181" s="70" t="s">
        <v>263</v>
      </c>
      <c r="C181" s="282" t="s">
        <v>124</v>
      </c>
      <c r="D181" s="282">
        <v>6880</v>
      </c>
      <c r="E181" s="282" t="s">
        <v>112</v>
      </c>
      <c r="F181" s="283">
        <v>114059.67</v>
      </c>
      <c r="U181" s="85"/>
      <c r="V181" s="86"/>
      <c r="W181" s="18"/>
      <c r="X181" s="14"/>
    </row>
    <row r="182" spans="1:53" ht="12.75" customHeight="1" x14ac:dyDescent="0.3">
      <c r="B182" s="70" t="s">
        <v>263</v>
      </c>
      <c r="C182" s="282" t="s">
        <v>127</v>
      </c>
      <c r="D182" s="282">
        <v>6884</v>
      </c>
      <c r="E182" s="282" t="s">
        <v>112</v>
      </c>
      <c r="F182" s="283">
        <v>112371.34</v>
      </c>
      <c r="U182" s="93"/>
      <c r="V182" s="94"/>
      <c r="W182" s="18"/>
      <c r="X182" s="14"/>
    </row>
    <row r="183" spans="1:53" ht="12.75" customHeight="1" x14ac:dyDescent="0.3">
      <c r="B183" s="21"/>
      <c r="C183" s="244" t="s">
        <v>120</v>
      </c>
      <c r="D183" s="244">
        <v>4310638</v>
      </c>
      <c r="E183" s="244" t="s">
        <v>114</v>
      </c>
      <c r="F183" s="281">
        <v>262891.48</v>
      </c>
      <c r="U183" s="578" t="s">
        <v>274</v>
      </c>
      <c r="V183" s="579"/>
      <c r="W183" s="18">
        <f>SUM(F183-W184)/3</f>
        <v>74493.82666666666</v>
      </c>
      <c r="X183" s="14">
        <v>3</v>
      </c>
    </row>
    <row r="184" spans="1:53" ht="12.75" customHeight="1" x14ac:dyDescent="0.3">
      <c r="B184" s="70" t="s">
        <v>263</v>
      </c>
      <c r="C184" s="282" t="s">
        <v>118</v>
      </c>
      <c r="D184" s="282">
        <v>6885</v>
      </c>
      <c r="E184" s="282" t="s">
        <v>112</v>
      </c>
      <c r="F184" s="283">
        <v>119172.22</v>
      </c>
      <c r="U184" s="573" t="s">
        <v>273</v>
      </c>
      <c r="V184" s="574"/>
      <c r="W184" s="18">
        <f>W180</f>
        <v>39410</v>
      </c>
      <c r="X184" s="14">
        <v>1</v>
      </c>
    </row>
    <row r="185" spans="1:53" ht="12.75" customHeight="1" x14ac:dyDescent="0.3">
      <c r="B185" s="70" t="s">
        <v>263</v>
      </c>
      <c r="C185" s="282" t="s">
        <v>127</v>
      </c>
      <c r="D185" s="282">
        <v>6884</v>
      </c>
      <c r="E185" s="282" t="s">
        <v>112</v>
      </c>
      <c r="F185" s="283">
        <v>112371.34</v>
      </c>
      <c r="U185" s="93"/>
      <c r="V185" s="94"/>
      <c r="W185" s="18"/>
      <c r="X185" s="14"/>
    </row>
    <row r="186" spans="1:53" ht="12.75" customHeight="1" x14ac:dyDescent="0.3">
      <c r="B186" s="70" t="s">
        <v>263</v>
      </c>
      <c r="C186" s="282" t="s">
        <v>126</v>
      </c>
      <c r="D186" s="282">
        <v>6879</v>
      </c>
      <c r="E186" s="282" t="s">
        <v>112</v>
      </c>
      <c r="F186" s="283">
        <v>60782.47</v>
      </c>
      <c r="U186" s="93"/>
      <c r="V186" s="94"/>
      <c r="W186" s="18"/>
      <c r="X186" s="14"/>
    </row>
    <row r="187" spans="1:53" ht="12.75" customHeight="1" x14ac:dyDescent="0.3">
      <c r="B187" s="70" t="s">
        <v>263</v>
      </c>
      <c r="C187" s="282" t="s">
        <v>125</v>
      </c>
      <c r="D187" s="282">
        <v>6877</v>
      </c>
      <c r="E187" s="282" t="s">
        <v>112</v>
      </c>
      <c r="F187" s="283">
        <v>114059.67</v>
      </c>
      <c r="U187" s="93"/>
      <c r="V187" s="94"/>
      <c r="W187" s="18"/>
      <c r="X187" s="14"/>
    </row>
    <row r="188" spans="1:53" s="7" customFormat="1" ht="12.75" customHeight="1" x14ac:dyDescent="0.3">
      <c r="A188" s="8"/>
      <c r="B188" s="70" t="s">
        <v>263</v>
      </c>
      <c r="C188" s="282" t="s">
        <v>124</v>
      </c>
      <c r="D188" s="282">
        <v>6880</v>
      </c>
      <c r="E188" s="282" t="s">
        <v>112</v>
      </c>
      <c r="F188" s="283">
        <v>114059.67</v>
      </c>
      <c r="G188" s="84"/>
      <c r="H188" s="84"/>
      <c r="I188" s="84"/>
      <c r="J188" s="84"/>
      <c r="L188" s="38"/>
      <c r="U188" s="93"/>
      <c r="V188" s="94"/>
      <c r="W188" s="18"/>
      <c r="X188" s="14"/>
      <c r="AY188" s="62"/>
      <c r="AZ188" s="121"/>
      <c r="BA188" s="97"/>
    </row>
    <row r="189" spans="1:53" s="7" customFormat="1" ht="12.75" customHeight="1" x14ac:dyDescent="0.3">
      <c r="A189" s="8"/>
      <c r="B189" s="21"/>
      <c r="C189" s="244" t="s">
        <v>123</v>
      </c>
      <c r="D189" s="244">
        <v>4313171</v>
      </c>
      <c r="E189" s="244" t="s">
        <v>114</v>
      </c>
      <c r="F189" s="281">
        <v>81261.600000000006</v>
      </c>
      <c r="G189" s="84"/>
      <c r="H189" s="84"/>
      <c r="I189" s="84"/>
      <c r="J189" s="84"/>
      <c r="L189" s="38"/>
      <c r="U189" s="573" t="s">
        <v>272</v>
      </c>
      <c r="V189" s="574"/>
      <c r="W189" s="18">
        <f>SUM(F189/2)</f>
        <v>40630.800000000003</v>
      </c>
      <c r="X189" s="14">
        <v>2</v>
      </c>
      <c r="AY189" s="62"/>
      <c r="AZ189" s="121"/>
      <c r="BA189" s="97"/>
    </row>
    <row r="190" spans="1:53" s="7" customFormat="1" ht="12.75" customHeight="1" x14ac:dyDescent="0.3">
      <c r="A190" s="8"/>
      <c r="B190" s="70" t="s">
        <v>263</v>
      </c>
      <c r="C190" s="282" t="s">
        <v>119</v>
      </c>
      <c r="D190" s="282">
        <v>6895</v>
      </c>
      <c r="E190" s="282" t="s">
        <v>112</v>
      </c>
      <c r="F190" s="283">
        <v>119172.22</v>
      </c>
      <c r="G190" s="84"/>
      <c r="H190" s="84"/>
      <c r="I190" s="84"/>
      <c r="J190" s="84"/>
      <c r="L190" s="38"/>
      <c r="U190" s="93"/>
      <c r="V190" s="94"/>
      <c r="W190" s="18"/>
      <c r="X190" s="14"/>
      <c r="AY190" s="62"/>
      <c r="AZ190" s="121"/>
      <c r="BA190" s="97"/>
    </row>
    <row r="191" spans="1:53" s="7" customFormat="1" ht="12.75" customHeight="1" x14ac:dyDescent="0.3">
      <c r="A191" s="8"/>
      <c r="B191" s="70" t="s">
        <v>263</v>
      </c>
      <c r="C191" s="282" t="s">
        <v>120</v>
      </c>
      <c r="D191" s="282">
        <v>6894</v>
      </c>
      <c r="E191" s="282" t="s">
        <v>112</v>
      </c>
      <c r="F191" s="283">
        <v>119172.22</v>
      </c>
      <c r="G191" s="84"/>
      <c r="H191" s="84"/>
      <c r="I191" s="84"/>
      <c r="J191" s="84"/>
      <c r="L191" s="38"/>
      <c r="U191" s="93"/>
      <c r="V191" s="94"/>
      <c r="W191" s="18"/>
      <c r="X191" s="14"/>
      <c r="AY191" s="62"/>
      <c r="AZ191" s="121"/>
      <c r="BA191" s="97"/>
    </row>
    <row r="192" spans="1:53" s="7" customFormat="1" ht="12.75" customHeight="1" x14ac:dyDescent="0.3">
      <c r="A192" s="8"/>
      <c r="B192" s="21"/>
      <c r="C192" s="244" t="s">
        <v>122</v>
      </c>
      <c r="D192" s="244">
        <v>4315955</v>
      </c>
      <c r="E192" s="244" t="s">
        <v>114</v>
      </c>
      <c r="F192" s="281">
        <v>342423.47</v>
      </c>
      <c r="G192" s="84"/>
      <c r="H192" s="84"/>
      <c r="I192" s="84"/>
      <c r="J192" s="84"/>
      <c r="L192" s="38"/>
      <c r="U192" s="573" t="s">
        <v>271</v>
      </c>
      <c r="V192" s="574"/>
      <c r="W192" s="18">
        <f>SUM(F192-F197)/3</f>
        <v>100597.55666666666</v>
      </c>
      <c r="X192" s="14">
        <v>3</v>
      </c>
      <c r="AY192" s="62"/>
      <c r="AZ192" s="121"/>
      <c r="BA192" s="97"/>
    </row>
    <row r="193" spans="1:53" s="7" customFormat="1" ht="12.75" customHeight="1" x14ac:dyDescent="0.3">
      <c r="A193" s="8"/>
      <c r="B193" s="70" t="s">
        <v>263</v>
      </c>
      <c r="C193" s="282" t="s">
        <v>121</v>
      </c>
      <c r="D193" s="282">
        <v>6897</v>
      </c>
      <c r="E193" s="282" t="s">
        <v>112</v>
      </c>
      <c r="F193" s="283">
        <v>185340.63</v>
      </c>
      <c r="G193" s="84"/>
      <c r="H193" s="84"/>
      <c r="I193" s="84"/>
      <c r="J193" s="84"/>
      <c r="L193" s="38"/>
      <c r="U193" s="573" t="s">
        <v>270</v>
      </c>
      <c r="V193" s="574"/>
      <c r="W193" s="18">
        <f>SUM(W197)</f>
        <v>40630.800000000003</v>
      </c>
      <c r="X193" s="14">
        <v>1</v>
      </c>
      <c r="AY193" s="62"/>
      <c r="AZ193" s="121"/>
      <c r="BA193" s="97"/>
    </row>
    <row r="194" spans="1:53" s="7" customFormat="1" ht="12.75" customHeight="1" x14ac:dyDescent="0.3">
      <c r="A194" s="8"/>
      <c r="B194" s="70" t="s">
        <v>263</v>
      </c>
      <c r="C194" s="282" t="s">
        <v>120</v>
      </c>
      <c r="D194" s="282">
        <v>6894</v>
      </c>
      <c r="E194" s="282" t="s">
        <v>112</v>
      </c>
      <c r="F194" s="283">
        <v>119172.22</v>
      </c>
      <c r="G194" s="84"/>
      <c r="H194" s="84"/>
      <c r="I194" s="84"/>
      <c r="J194" s="84"/>
      <c r="L194" s="38"/>
      <c r="U194" s="93"/>
      <c r="V194" s="94"/>
      <c r="W194" s="18"/>
      <c r="X194" s="14"/>
      <c r="AY194" s="62"/>
      <c r="AZ194" s="121"/>
      <c r="BA194" s="97"/>
    </row>
    <row r="195" spans="1:53" s="7" customFormat="1" ht="12.75" customHeight="1" x14ac:dyDescent="0.3">
      <c r="A195" s="8"/>
      <c r="B195" s="70" t="s">
        <v>263</v>
      </c>
      <c r="C195" s="282" t="s">
        <v>119</v>
      </c>
      <c r="D195" s="282">
        <v>6895</v>
      </c>
      <c r="E195" s="282" t="s">
        <v>112</v>
      </c>
      <c r="F195" s="283">
        <v>119172.22</v>
      </c>
      <c r="G195" s="84"/>
      <c r="H195" s="84"/>
      <c r="I195" s="84"/>
      <c r="J195" s="84"/>
      <c r="L195" s="38"/>
      <c r="U195" s="93"/>
      <c r="V195" s="94"/>
      <c r="W195" s="18"/>
      <c r="X195" s="14"/>
      <c r="AY195" s="62"/>
      <c r="AZ195" s="121"/>
      <c r="BA195" s="97"/>
    </row>
    <row r="196" spans="1:53" s="7" customFormat="1" ht="12.75" customHeight="1" x14ac:dyDescent="0.3">
      <c r="A196" s="8"/>
      <c r="B196" s="70" t="s">
        <v>263</v>
      </c>
      <c r="C196" s="282" t="s">
        <v>118</v>
      </c>
      <c r="D196" s="282">
        <v>6885</v>
      </c>
      <c r="E196" s="282" t="s">
        <v>112</v>
      </c>
      <c r="F196" s="283">
        <v>119172.22</v>
      </c>
      <c r="G196" s="84"/>
      <c r="H196" s="84"/>
      <c r="I196" s="84"/>
      <c r="J196" s="84"/>
      <c r="L196" s="38"/>
      <c r="U196" s="93"/>
      <c r="V196" s="94"/>
      <c r="W196" s="18"/>
      <c r="X196" s="14"/>
      <c r="AY196" s="62"/>
      <c r="AZ196" s="121"/>
      <c r="BA196" s="97"/>
    </row>
    <row r="197" spans="1:53" s="7" customFormat="1" ht="12.75" customHeight="1" x14ac:dyDescent="0.3">
      <c r="A197" s="8"/>
      <c r="B197" s="21"/>
      <c r="C197" s="244" t="s">
        <v>117</v>
      </c>
      <c r="D197" s="244">
        <v>4317338</v>
      </c>
      <c r="E197" s="244" t="s">
        <v>114</v>
      </c>
      <c r="F197" s="281">
        <v>40630.800000000003</v>
      </c>
      <c r="G197" s="84"/>
      <c r="H197" s="84"/>
      <c r="I197" s="84"/>
      <c r="J197" s="84"/>
      <c r="L197" s="38"/>
      <c r="U197" s="573" t="s">
        <v>276</v>
      </c>
      <c r="V197" s="574"/>
      <c r="W197" s="18">
        <f>SUM(F197)</f>
        <v>40630.800000000003</v>
      </c>
      <c r="X197" s="14">
        <v>1</v>
      </c>
      <c r="AY197" s="62"/>
      <c r="AZ197" s="121"/>
      <c r="BA197" s="97"/>
    </row>
    <row r="198" spans="1:53" s="7" customFormat="1" ht="12.75" customHeight="1" x14ac:dyDescent="0.3">
      <c r="A198" s="8"/>
      <c r="B198" s="70" t="s">
        <v>263</v>
      </c>
      <c r="C198" s="282" t="s">
        <v>116</v>
      </c>
      <c r="D198" s="282">
        <v>6898</v>
      </c>
      <c r="E198" s="282" t="s">
        <v>112</v>
      </c>
      <c r="F198" s="283">
        <v>119172.22</v>
      </c>
      <c r="G198" s="84"/>
      <c r="H198" s="84"/>
      <c r="I198" s="84"/>
      <c r="J198" s="84"/>
      <c r="L198" s="38"/>
      <c r="U198" s="93"/>
      <c r="V198" s="94"/>
      <c r="W198" s="18"/>
      <c r="X198" s="14"/>
      <c r="AY198" s="62"/>
      <c r="AZ198" s="121"/>
      <c r="BA198" s="97"/>
    </row>
    <row r="199" spans="1:53" s="7" customFormat="1" ht="12.75" customHeight="1" x14ac:dyDescent="0.3">
      <c r="A199" s="8"/>
      <c r="B199" s="21"/>
      <c r="C199" s="244" t="s">
        <v>115</v>
      </c>
      <c r="D199" s="244">
        <v>4318254</v>
      </c>
      <c r="E199" s="244" t="s">
        <v>114</v>
      </c>
      <c r="F199" s="281">
        <v>40630.800000000003</v>
      </c>
      <c r="G199" s="84"/>
      <c r="H199" s="84"/>
      <c r="I199" s="84"/>
      <c r="J199" s="84"/>
      <c r="L199" s="38"/>
      <c r="U199" s="573" t="s">
        <v>277</v>
      </c>
      <c r="V199" s="574"/>
      <c r="W199" s="18">
        <f>SUM(W197)</f>
        <v>40630.800000000003</v>
      </c>
      <c r="X199" s="14">
        <v>1</v>
      </c>
      <c r="AY199" s="62"/>
      <c r="AZ199" s="121"/>
      <c r="BA199" s="97"/>
    </row>
    <row r="200" spans="1:53" s="7" customFormat="1" ht="12.75" customHeight="1" x14ac:dyDescent="0.3">
      <c r="A200" s="8"/>
      <c r="B200" s="70" t="s">
        <v>263</v>
      </c>
      <c r="C200" s="282" t="s">
        <v>113</v>
      </c>
      <c r="D200" s="282">
        <v>6901</v>
      </c>
      <c r="E200" s="282" t="s">
        <v>112</v>
      </c>
      <c r="F200" s="283">
        <v>119172.22</v>
      </c>
      <c r="G200" s="84"/>
      <c r="H200" s="84"/>
      <c r="I200" s="84"/>
      <c r="J200" s="84"/>
      <c r="L200" s="38"/>
      <c r="U200" s="22"/>
      <c r="V200" s="14"/>
      <c r="W200" s="15"/>
      <c r="X200" s="14"/>
      <c r="AY200" s="62"/>
      <c r="AZ200" s="121"/>
      <c r="BA200" s="97"/>
    </row>
    <row r="201" spans="1:53" s="7" customFormat="1" ht="12.75" customHeight="1" x14ac:dyDescent="0.3">
      <c r="A201" s="8"/>
      <c r="B201" s="278"/>
      <c r="C201" s="278"/>
      <c r="D201" s="278"/>
      <c r="E201" s="278"/>
      <c r="F201" s="284"/>
      <c r="G201" s="84"/>
      <c r="H201" s="84"/>
      <c r="I201" s="84"/>
      <c r="J201" s="84"/>
      <c r="L201" s="38"/>
      <c r="U201" s="121"/>
      <c r="AY201" s="62"/>
      <c r="AZ201" s="121"/>
      <c r="BA201" s="97"/>
    </row>
    <row r="202" spans="1:53" s="7" customFormat="1" x14ac:dyDescent="0.3">
      <c r="A202" s="575" t="s">
        <v>111</v>
      </c>
      <c r="B202" s="575"/>
      <c r="C202" s="575"/>
      <c r="D202" s="285">
        <f>SUM(103+39+45+51+36+12)/6</f>
        <v>47.666666666666664</v>
      </c>
      <c r="E202" s="286" t="s">
        <v>109</v>
      </c>
      <c r="F202" s="287">
        <f>SUM(C199+D202)</f>
        <v>43899.666666666664</v>
      </c>
      <c r="G202" s="84"/>
      <c r="H202" s="84"/>
      <c r="I202" s="84"/>
      <c r="J202" s="84"/>
      <c r="L202" s="38"/>
      <c r="U202" s="122">
        <f>SUM(F202+D202)</f>
        <v>43947.333333333328</v>
      </c>
      <c r="V202" s="10">
        <f>SUM(U202+D202)</f>
        <v>43994.999999999993</v>
      </c>
      <c r="W202" s="9">
        <f>SUM(V202+D202)</f>
        <v>44042.666666666657</v>
      </c>
      <c r="X202" s="9">
        <f>SUM(W202+D202)</f>
        <v>44090.333333333321</v>
      </c>
      <c r="AY202" s="62"/>
      <c r="AZ202" s="121"/>
      <c r="BA202" s="97"/>
    </row>
    <row r="203" spans="1:53" s="7" customFormat="1" x14ac:dyDescent="0.3">
      <c r="A203" s="575" t="s">
        <v>110</v>
      </c>
      <c r="B203" s="575"/>
      <c r="C203" s="575"/>
      <c r="D203" s="285">
        <f>SUM(100+96)/2</f>
        <v>98</v>
      </c>
      <c r="E203" s="286" t="s">
        <v>109</v>
      </c>
      <c r="F203" s="287">
        <f>SUM(C192+D203)</f>
        <v>43902</v>
      </c>
      <c r="G203" s="84"/>
      <c r="H203" s="84"/>
      <c r="I203" s="84"/>
      <c r="J203" s="84"/>
      <c r="L203" s="38"/>
      <c r="U203" s="122">
        <f>SUM(F203+D203)</f>
        <v>44000</v>
      </c>
      <c r="V203" s="10">
        <f>SUM(U203+D203)</f>
        <v>44098</v>
      </c>
      <c r="W203" s="9">
        <f>SUM(V203+D203)</f>
        <v>44196</v>
      </c>
      <c r="X203" s="9">
        <f>SUM(W203+D203)</f>
        <v>44294</v>
      </c>
      <c r="AY203" s="62"/>
      <c r="AZ203" s="121"/>
      <c r="BA203" s="97"/>
    </row>
  </sheetData>
  <mergeCells count="22">
    <mergeCell ref="D179:E179"/>
    <mergeCell ref="A1:G1"/>
    <mergeCell ref="A2:G2"/>
    <mergeCell ref="A3:F3"/>
    <mergeCell ref="G4:J4"/>
    <mergeCell ref="H41:I41"/>
    <mergeCell ref="H75:I75"/>
    <mergeCell ref="H106:I106"/>
    <mergeCell ref="H135:I135"/>
    <mergeCell ref="H165:I165"/>
    <mergeCell ref="B177:X177"/>
    <mergeCell ref="B178:X178"/>
    <mergeCell ref="U197:V197"/>
    <mergeCell ref="U199:V199"/>
    <mergeCell ref="A202:C202"/>
    <mergeCell ref="A203:C203"/>
    <mergeCell ref="U180:V180"/>
    <mergeCell ref="U183:V183"/>
    <mergeCell ref="U184:V184"/>
    <mergeCell ref="U189:V189"/>
    <mergeCell ref="U192:V192"/>
    <mergeCell ref="U193:V193"/>
  </mergeCells>
  <phoneticPr fontId="23" type="noConversion"/>
  <printOptions horizontalCentered="1"/>
  <pageMargins left="0.25" right="0.25" top="0.25" bottom="0.25" header="0" footer="0"/>
  <pageSetup scale="99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B6A99-4870-4B97-9718-53F638B0924B}">
  <sheetPr codeName="Sheet2">
    <pageSetUpPr fitToPage="1"/>
  </sheetPr>
  <dimension ref="A1:O103"/>
  <sheetViews>
    <sheetView workbookViewId="0">
      <pane ySplit="5" topLeftCell="A81" activePane="bottomLeft" state="frozen"/>
      <selection activeCell="A5" sqref="A5"/>
      <selection pane="bottomLeft" activeCell="J20" sqref="J20"/>
    </sheetView>
  </sheetViews>
  <sheetFormatPr defaultColWidth="9.109375" defaultRowHeight="14.4" x14ac:dyDescent="0.3"/>
  <cols>
    <col min="1" max="1" width="36.109375" style="97" customWidth="1"/>
    <col min="2" max="7" width="10.44140625" style="97" bestFit="1" customWidth="1"/>
    <col min="8" max="8" width="10.109375" style="97" bestFit="1" customWidth="1"/>
    <col min="9" max="10" width="11" style="97" bestFit="1" customWidth="1"/>
    <col min="11" max="13" width="10.109375" style="97" bestFit="1" customWidth="1"/>
    <col min="14" max="14" width="11.6640625" style="97" bestFit="1" customWidth="1"/>
    <col min="15" max="15" width="20.44140625" style="7" bestFit="1" customWidth="1"/>
    <col min="16" max="16384" width="9.109375" style="97"/>
  </cols>
  <sheetData>
    <row r="1" spans="1:15" ht="15.6" x14ac:dyDescent="0.3">
      <c r="A1" s="584" t="s">
        <v>108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</row>
    <row r="2" spans="1:15" ht="15.6" x14ac:dyDescent="0.3">
      <c r="A2" s="584" t="s">
        <v>371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</row>
    <row r="3" spans="1:15" x14ac:dyDescent="0.3">
      <c r="A3" s="587" t="s">
        <v>399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</row>
    <row r="5" spans="1:15" x14ac:dyDescent="0.3">
      <c r="A5" s="221"/>
      <c r="B5" s="222" t="s">
        <v>0</v>
      </c>
      <c r="C5" s="222" t="s">
        <v>1</v>
      </c>
      <c r="D5" s="222" t="s">
        <v>2</v>
      </c>
      <c r="E5" s="222" t="s">
        <v>3</v>
      </c>
      <c r="F5" s="222" t="s">
        <v>4</v>
      </c>
      <c r="G5" s="222" t="s">
        <v>5</v>
      </c>
      <c r="H5" s="222" t="s">
        <v>6</v>
      </c>
      <c r="I5" s="222" t="s">
        <v>7</v>
      </c>
      <c r="J5" s="222" t="s">
        <v>8</v>
      </c>
      <c r="K5" s="222" t="s">
        <v>9</v>
      </c>
      <c r="L5" s="222" t="s">
        <v>10</v>
      </c>
      <c r="M5" s="222" t="s">
        <v>11</v>
      </c>
      <c r="N5" s="222" t="s">
        <v>12</v>
      </c>
      <c r="O5" s="223" t="s">
        <v>349</v>
      </c>
    </row>
    <row r="6" spans="1:15" x14ac:dyDescent="0.3">
      <c r="A6" s="1" t="s">
        <v>13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x14ac:dyDescent="0.3">
      <c r="A7" s="1" t="s">
        <v>14</v>
      </c>
      <c r="B7" s="127">
        <f t="shared" ref="B7:M7" si="0">78541.42</f>
        <v>78541.42</v>
      </c>
      <c r="C7" s="127">
        <f t="shared" si="0"/>
        <v>78541.42</v>
      </c>
      <c r="D7" s="127">
        <f t="shared" si="0"/>
        <v>78541.42</v>
      </c>
      <c r="E7" s="127">
        <f t="shared" si="0"/>
        <v>78541.42</v>
      </c>
      <c r="F7" s="127">
        <f t="shared" si="0"/>
        <v>78541.42</v>
      </c>
      <c r="G7" s="127">
        <f t="shared" si="0"/>
        <v>78541.42</v>
      </c>
      <c r="H7" s="127">
        <f t="shared" si="0"/>
        <v>78541.42</v>
      </c>
      <c r="I7" s="127">
        <f t="shared" si="0"/>
        <v>78541.42</v>
      </c>
      <c r="J7" s="127">
        <f t="shared" si="0"/>
        <v>78541.42</v>
      </c>
      <c r="K7" s="127">
        <f t="shared" si="0"/>
        <v>78541.42</v>
      </c>
      <c r="L7" s="127">
        <f t="shared" si="0"/>
        <v>78541.42</v>
      </c>
      <c r="M7" s="127">
        <f t="shared" si="0"/>
        <v>78541.42</v>
      </c>
      <c r="N7" s="127">
        <f t="shared" ref="N7:N16" si="1">(((((((((((B7)+(C7))+(D7))+(E7))+(F7))+(G7))+(H7))+(I7))+(J7))+(K7))+(L7))+(M7)</f>
        <v>942497.04000000015</v>
      </c>
      <c r="O7" s="7" t="s">
        <v>350</v>
      </c>
    </row>
    <row r="8" spans="1:15" x14ac:dyDescent="0.3">
      <c r="A8" s="1" t="s">
        <v>15</v>
      </c>
      <c r="B8" s="2"/>
      <c r="C8" s="2"/>
      <c r="D8" s="2"/>
      <c r="E8" s="3">
        <f>66168.41</f>
        <v>66168.41</v>
      </c>
      <c r="F8" s="2"/>
      <c r="G8" s="2"/>
      <c r="H8" s="2"/>
      <c r="I8" s="2"/>
      <c r="J8" s="2"/>
      <c r="K8" s="2"/>
      <c r="L8" s="2"/>
      <c r="M8" s="2"/>
      <c r="N8" s="3">
        <f t="shared" si="1"/>
        <v>66168.41</v>
      </c>
    </row>
    <row r="9" spans="1:15" x14ac:dyDescent="0.3">
      <c r="A9" s="1" t="s">
        <v>16</v>
      </c>
      <c r="B9" s="127">
        <f t="shared" ref="B9:M9" si="2">40630.8</f>
        <v>40630.800000000003</v>
      </c>
      <c r="C9" s="127">
        <f t="shared" si="2"/>
        <v>40630.800000000003</v>
      </c>
      <c r="D9" s="127">
        <f t="shared" si="2"/>
        <v>40630.800000000003</v>
      </c>
      <c r="E9" s="127">
        <f t="shared" si="2"/>
        <v>40630.800000000003</v>
      </c>
      <c r="F9" s="127">
        <f t="shared" si="2"/>
        <v>40630.800000000003</v>
      </c>
      <c r="G9" s="127">
        <f t="shared" si="2"/>
        <v>40630.800000000003</v>
      </c>
      <c r="H9" s="127">
        <f t="shared" si="2"/>
        <v>40630.800000000003</v>
      </c>
      <c r="I9" s="127">
        <f t="shared" si="2"/>
        <v>40630.800000000003</v>
      </c>
      <c r="J9" s="127">
        <f t="shared" si="2"/>
        <v>40630.800000000003</v>
      </c>
      <c r="K9" s="127">
        <f t="shared" si="2"/>
        <v>40630.800000000003</v>
      </c>
      <c r="L9" s="127">
        <f t="shared" si="2"/>
        <v>40630.800000000003</v>
      </c>
      <c r="M9" s="127">
        <f t="shared" si="2"/>
        <v>40630.800000000003</v>
      </c>
      <c r="N9" s="127">
        <f t="shared" si="1"/>
        <v>487569.59999999992</v>
      </c>
      <c r="O9" s="7" t="s">
        <v>350</v>
      </c>
    </row>
    <row r="10" spans="1:15" x14ac:dyDescent="0.3">
      <c r="A10" s="1" t="s">
        <v>17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>
        <f t="shared" si="1"/>
        <v>0</v>
      </c>
    </row>
    <row r="11" spans="1:15" x14ac:dyDescent="0.3">
      <c r="A11" s="1" t="s">
        <v>18</v>
      </c>
      <c r="B11" s="2"/>
      <c r="C11" s="2"/>
      <c r="D11" s="3">
        <f>0</f>
        <v>0</v>
      </c>
      <c r="E11" s="2"/>
      <c r="F11" s="2"/>
      <c r="G11" s="2"/>
      <c r="H11" s="2"/>
      <c r="I11" s="2"/>
      <c r="J11" s="2"/>
      <c r="K11" s="2"/>
      <c r="L11" s="2"/>
      <c r="M11" s="2"/>
      <c r="N11" s="3">
        <f t="shared" si="1"/>
        <v>0</v>
      </c>
    </row>
    <row r="12" spans="1:15" x14ac:dyDescent="0.3">
      <c r="A12" s="1" t="s">
        <v>19</v>
      </c>
      <c r="B12" s="2"/>
      <c r="C12" s="3">
        <f>1350</f>
        <v>1350</v>
      </c>
      <c r="D12" s="3">
        <f>500</f>
        <v>500</v>
      </c>
      <c r="E12" s="2"/>
      <c r="F12" s="3">
        <f>850</f>
        <v>850</v>
      </c>
      <c r="G12" s="2"/>
      <c r="H12" s="2"/>
      <c r="I12" s="2"/>
      <c r="J12" s="2"/>
      <c r="K12" s="2"/>
      <c r="L12" s="2"/>
      <c r="M12" s="2"/>
      <c r="N12" s="3">
        <f t="shared" si="1"/>
        <v>2700</v>
      </c>
    </row>
    <row r="13" spans="1:15" x14ac:dyDescent="0.3">
      <c r="A13" s="1" t="s">
        <v>20</v>
      </c>
      <c r="B13" s="3">
        <f>31.77</f>
        <v>31.77</v>
      </c>
      <c r="C13" s="3">
        <f>24.2</f>
        <v>24.2</v>
      </c>
      <c r="D13" s="3">
        <f>17.23</f>
        <v>17.23</v>
      </c>
      <c r="E13" s="3">
        <f>21.93</f>
        <v>21.93</v>
      </c>
      <c r="F13" s="3">
        <f>15.4</f>
        <v>15.4</v>
      </c>
      <c r="G13" s="3">
        <f>28.69</f>
        <v>28.69</v>
      </c>
      <c r="H13" s="2"/>
      <c r="I13" s="2"/>
      <c r="J13" s="2"/>
      <c r="K13" s="2"/>
      <c r="L13" s="2"/>
      <c r="M13" s="2"/>
      <c r="N13" s="3">
        <f t="shared" si="1"/>
        <v>139.22</v>
      </c>
    </row>
    <row r="14" spans="1:15" x14ac:dyDescent="0.3">
      <c r="A14" s="1" t="s">
        <v>21</v>
      </c>
      <c r="B14" s="4">
        <f t="shared" ref="B14:M14" si="3">(((B10)+(B11))+(B12))+(B13)</f>
        <v>31.77</v>
      </c>
      <c r="C14" s="4">
        <f t="shared" si="3"/>
        <v>1374.2</v>
      </c>
      <c r="D14" s="4">
        <f t="shared" si="3"/>
        <v>517.23</v>
      </c>
      <c r="E14" s="4">
        <f t="shared" si="3"/>
        <v>21.93</v>
      </c>
      <c r="F14" s="4">
        <f t="shared" si="3"/>
        <v>865.4</v>
      </c>
      <c r="G14" s="4">
        <f t="shared" si="3"/>
        <v>28.69</v>
      </c>
      <c r="H14" s="4">
        <f t="shared" si="3"/>
        <v>0</v>
      </c>
      <c r="I14" s="4">
        <f t="shared" si="3"/>
        <v>0</v>
      </c>
      <c r="J14" s="4">
        <f t="shared" si="3"/>
        <v>0</v>
      </c>
      <c r="K14" s="4">
        <f t="shared" si="3"/>
        <v>0</v>
      </c>
      <c r="L14" s="4">
        <f t="shared" si="3"/>
        <v>0</v>
      </c>
      <c r="M14" s="4">
        <f t="shared" si="3"/>
        <v>0</v>
      </c>
      <c r="N14" s="4">
        <f t="shared" si="1"/>
        <v>2839.2200000000003</v>
      </c>
    </row>
    <row r="15" spans="1:15" x14ac:dyDescent="0.3">
      <c r="A15" s="1" t="s">
        <v>22</v>
      </c>
      <c r="B15" s="4">
        <f t="shared" ref="B15:M15" si="4">(((B7)+(B8))+(B9))+(B14)</f>
        <v>119203.99</v>
      </c>
      <c r="C15" s="4">
        <f t="shared" si="4"/>
        <v>120546.42</v>
      </c>
      <c r="D15" s="4">
        <f t="shared" si="4"/>
        <v>119689.45</v>
      </c>
      <c r="E15" s="4">
        <f t="shared" si="4"/>
        <v>185362.56</v>
      </c>
      <c r="F15" s="4">
        <f t="shared" si="4"/>
        <v>120037.62</v>
      </c>
      <c r="G15" s="4">
        <f t="shared" si="4"/>
        <v>119200.91</v>
      </c>
      <c r="H15" s="4">
        <f t="shared" si="4"/>
        <v>119172.22</v>
      </c>
      <c r="I15" s="4">
        <f t="shared" si="4"/>
        <v>119172.22</v>
      </c>
      <c r="J15" s="4">
        <f t="shared" si="4"/>
        <v>119172.22</v>
      </c>
      <c r="K15" s="4">
        <f t="shared" si="4"/>
        <v>119172.22</v>
      </c>
      <c r="L15" s="4">
        <f t="shared" si="4"/>
        <v>119172.22</v>
      </c>
      <c r="M15" s="4">
        <f t="shared" si="4"/>
        <v>119172.22</v>
      </c>
      <c r="N15" s="4">
        <f t="shared" si="1"/>
        <v>1499074.2699999998</v>
      </c>
    </row>
    <row r="16" spans="1:15" x14ac:dyDescent="0.3">
      <c r="A16" s="1" t="s">
        <v>23</v>
      </c>
      <c r="B16" s="4">
        <f t="shared" ref="B16:M16" si="5">(B15)-(0)</f>
        <v>119203.99</v>
      </c>
      <c r="C16" s="4">
        <f t="shared" si="5"/>
        <v>120546.42</v>
      </c>
      <c r="D16" s="4">
        <f t="shared" si="5"/>
        <v>119689.45</v>
      </c>
      <c r="E16" s="4">
        <f t="shared" si="5"/>
        <v>185362.56</v>
      </c>
      <c r="F16" s="4">
        <f t="shared" si="5"/>
        <v>120037.62</v>
      </c>
      <c r="G16" s="4">
        <f t="shared" si="5"/>
        <v>119200.91</v>
      </c>
      <c r="H16" s="4">
        <f t="shared" si="5"/>
        <v>119172.22</v>
      </c>
      <c r="I16" s="4">
        <f t="shared" si="5"/>
        <v>119172.22</v>
      </c>
      <c r="J16" s="4">
        <f t="shared" si="5"/>
        <v>119172.22</v>
      </c>
      <c r="K16" s="4">
        <f t="shared" si="5"/>
        <v>119172.22</v>
      </c>
      <c r="L16" s="4">
        <f t="shared" si="5"/>
        <v>119172.22</v>
      </c>
      <c r="M16" s="4">
        <f t="shared" si="5"/>
        <v>119172.22</v>
      </c>
      <c r="N16" s="4">
        <f t="shared" si="1"/>
        <v>1499074.2699999998</v>
      </c>
    </row>
    <row r="17" spans="1:15" x14ac:dyDescent="0.3">
      <c r="A17" s="1" t="s">
        <v>24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5" x14ac:dyDescent="0.3">
      <c r="A18" s="1" t="s">
        <v>25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>
        <f t="shared" ref="N18:N81" si="6">(((((((((((B18)+(C18))+(D18))+(E18))+(F18))+(G18))+(H18))+(I18))+(J18))+(K18))+(L18))+(M18)</f>
        <v>0</v>
      </c>
    </row>
    <row r="19" spans="1:15" x14ac:dyDescent="0.3">
      <c r="A19" s="1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>
        <f t="shared" si="6"/>
        <v>0</v>
      </c>
    </row>
    <row r="20" spans="1:15" x14ac:dyDescent="0.3">
      <c r="A20" s="1" t="s">
        <v>27</v>
      </c>
      <c r="B20" s="3">
        <f>5752.66</f>
        <v>5752.66</v>
      </c>
      <c r="C20" s="3">
        <f>98839.1</f>
        <v>98839.1</v>
      </c>
      <c r="D20" s="3">
        <f>42619.08</f>
        <v>42619.08</v>
      </c>
      <c r="E20" s="3">
        <f>44361.54</f>
        <v>44361.54</v>
      </c>
      <c r="F20" s="3">
        <f>49826.45</f>
        <v>49826.45</v>
      </c>
      <c r="G20" s="3">
        <f>5942.45</f>
        <v>5942.45</v>
      </c>
      <c r="H20" s="3">
        <f>7705.85</f>
        <v>7705.85</v>
      </c>
      <c r="I20" s="3">
        <f>'BB Example 3 _ Cash Flows'!AA52</f>
        <v>13375</v>
      </c>
      <c r="J20" s="2">
        <f>'BB Example 3 _ Cash Flows'!AA86</f>
        <v>7375</v>
      </c>
      <c r="K20" s="2">
        <f>'BB Example 3 _ Cash Flows'!AA116</f>
        <v>7375</v>
      </c>
      <c r="L20" s="2">
        <f>'BB Example 3 _ Cash Flows'!AA144</f>
        <v>7375</v>
      </c>
      <c r="M20" s="2">
        <f>'BB Example 3 _ Cash Flows'!AA174</f>
        <v>7375</v>
      </c>
      <c r="N20" s="3">
        <f t="shared" si="6"/>
        <v>297922.13</v>
      </c>
      <c r="O20" s="481" t="s">
        <v>400</v>
      </c>
    </row>
    <row r="21" spans="1:15" x14ac:dyDescent="0.3">
      <c r="A21" s="1" t="s">
        <v>28</v>
      </c>
      <c r="B21" s="2"/>
      <c r="C21" s="2"/>
      <c r="D21" s="3">
        <f>9085</f>
        <v>9085</v>
      </c>
      <c r="E21" s="2"/>
      <c r="F21" s="2"/>
      <c r="G21" s="2"/>
      <c r="H21" s="126"/>
      <c r="I21" s="126"/>
      <c r="J21" s="126"/>
      <c r="K21" s="126"/>
      <c r="L21" s="126"/>
      <c r="M21" s="126"/>
      <c r="N21" s="3">
        <f t="shared" si="6"/>
        <v>9085</v>
      </c>
    </row>
    <row r="22" spans="1:15" x14ac:dyDescent="0.3">
      <c r="A22" s="1" t="s">
        <v>29</v>
      </c>
      <c r="B22" s="2"/>
      <c r="C22" s="2"/>
      <c r="D22" s="2"/>
      <c r="E22" s="2"/>
      <c r="F22" s="2"/>
      <c r="G22" s="3">
        <f>1500</f>
        <v>1500</v>
      </c>
      <c r="H22" s="126"/>
      <c r="I22" s="3">
        <f>1500</f>
        <v>1500</v>
      </c>
      <c r="J22" s="126"/>
      <c r="K22" s="126"/>
      <c r="L22" s="126"/>
      <c r="M22" s="126"/>
      <c r="N22" s="3">
        <f t="shared" si="6"/>
        <v>3000</v>
      </c>
    </row>
    <row r="23" spans="1:15" x14ac:dyDescent="0.3">
      <c r="A23" s="1" t="s">
        <v>30</v>
      </c>
      <c r="B23" s="2"/>
      <c r="C23" s="3">
        <f>5060</f>
        <v>5060</v>
      </c>
      <c r="D23" s="2"/>
      <c r="E23" s="2"/>
      <c r="F23" s="2"/>
      <c r="G23" s="2"/>
      <c r="H23" s="126"/>
      <c r="I23" s="126"/>
      <c r="J23" s="126"/>
      <c r="K23" s="126"/>
      <c r="L23" s="126"/>
      <c r="M23" s="126"/>
      <c r="N23" s="3">
        <f t="shared" si="6"/>
        <v>5060</v>
      </c>
    </row>
    <row r="24" spans="1:15" x14ac:dyDescent="0.3">
      <c r="A24" s="1" t="s">
        <v>31</v>
      </c>
      <c r="B24" s="3">
        <f>146.72</f>
        <v>146.72</v>
      </c>
      <c r="C24" s="2"/>
      <c r="D24" s="3">
        <f>9243</f>
        <v>9243</v>
      </c>
      <c r="E24" s="3">
        <f>7883.35</f>
        <v>7883.35</v>
      </c>
      <c r="F24" s="3">
        <f>216</f>
        <v>216</v>
      </c>
      <c r="G24" s="3">
        <f>809.77</f>
        <v>809.77</v>
      </c>
      <c r="H24" s="126"/>
      <c r="I24" s="126"/>
      <c r="J24" s="126"/>
      <c r="K24" s="126"/>
      <c r="L24" s="126"/>
      <c r="M24" s="126"/>
      <c r="N24" s="3">
        <f t="shared" si="6"/>
        <v>18298.84</v>
      </c>
    </row>
    <row r="25" spans="1:15" x14ac:dyDescent="0.3">
      <c r="A25" s="1" t="s">
        <v>32</v>
      </c>
      <c r="B25" s="2"/>
      <c r="C25" s="2"/>
      <c r="D25" s="2"/>
      <c r="E25" s="3">
        <f>2100</f>
        <v>2100</v>
      </c>
      <c r="F25" s="3">
        <f>1298</f>
        <v>1298</v>
      </c>
      <c r="G25" s="2"/>
      <c r="H25" s="126"/>
      <c r="I25" s="126"/>
      <c r="J25" s="126"/>
      <c r="K25" s="126"/>
      <c r="L25" s="126"/>
      <c r="M25" s="126"/>
      <c r="N25" s="3">
        <f t="shared" si="6"/>
        <v>3398</v>
      </c>
    </row>
    <row r="26" spans="1:15" x14ac:dyDescent="0.3">
      <c r="A26" s="1" t="s">
        <v>33</v>
      </c>
      <c r="B26" s="4">
        <f t="shared" ref="B26:M26" si="7">((((((B19)+(B20))+(B21))+(B22))+(B23))+(B24))+(B25)</f>
        <v>5899.38</v>
      </c>
      <c r="C26" s="4">
        <f t="shared" si="7"/>
        <v>103899.1</v>
      </c>
      <c r="D26" s="4">
        <f t="shared" si="7"/>
        <v>60947.08</v>
      </c>
      <c r="E26" s="4">
        <f t="shared" si="7"/>
        <v>54344.89</v>
      </c>
      <c r="F26" s="4">
        <f t="shared" si="7"/>
        <v>51340.45</v>
      </c>
      <c r="G26" s="4">
        <f t="shared" si="7"/>
        <v>8252.2199999999993</v>
      </c>
      <c r="H26" s="4">
        <f t="shared" si="7"/>
        <v>7705.85</v>
      </c>
      <c r="I26" s="4">
        <f t="shared" si="7"/>
        <v>14875</v>
      </c>
      <c r="J26" s="4">
        <f t="shared" si="7"/>
        <v>7375</v>
      </c>
      <c r="K26" s="4">
        <f t="shared" si="7"/>
        <v>7375</v>
      </c>
      <c r="L26" s="4">
        <f t="shared" si="7"/>
        <v>7375</v>
      </c>
      <c r="M26" s="4">
        <f t="shared" si="7"/>
        <v>7375</v>
      </c>
      <c r="N26" s="4">
        <f t="shared" si="6"/>
        <v>336763.97</v>
      </c>
    </row>
    <row r="27" spans="1:15" x14ac:dyDescent="0.3">
      <c r="A27" s="1" t="s">
        <v>34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>
        <f t="shared" si="6"/>
        <v>0</v>
      </c>
    </row>
    <row r="28" spans="1:15" x14ac:dyDescent="0.3">
      <c r="A28" s="1" t="s">
        <v>35</v>
      </c>
      <c r="B28" s="3">
        <f>7500</f>
        <v>7500</v>
      </c>
      <c r="C28" s="3">
        <f>7500</f>
        <v>7500</v>
      </c>
      <c r="D28" s="3">
        <f>7500</f>
        <v>7500</v>
      </c>
      <c r="E28" s="3">
        <f>7500</f>
        <v>7500</v>
      </c>
      <c r="F28" s="3">
        <f>7500</f>
        <v>7500</v>
      </c>
      <c r="G28" s="3">
        <f>7500</f>
        <v>7500</v>
      </c>
      <c r="H28" s="3">
        <f>7500</f>
        <v>7500</v>
      </c>
      <c r="I28" s="2">
        <f>'Example 1 _ Cash Flows'!AB51</f>
        <v>7500</v>
      </c>
      <c r="J28" s="2">
        <f>'Example 1 _ Cash Flows'!AB83</f>
        <v>7500</v>
      </c>
      <c r="K28" s="2">
        <f>'Example 1 _ Cash Flows'!AB112</f>
        <v>7500</v>
      </c>
      <c r="L28" s="2">
        <f>'Example 1 _ Cash Flows'!AB138</f>
        <v>7500</v>
      </c>
      <c r="M28" s="2">
        <f>'Example 1 _ Cash Flows'!AB166</f>
        <v>7500</v>
      </c>
      <c r="N28" s="3">
        <f t="shared" si="6"/>
        <v>90000</v>
      </c>
      <c r="O28" s="7" t="s">
        <v>355</v>
      </c>
    </row>
    <row r="29" spans="1:15" x14ac:dyDescent="0.3">
      <c r="A29" s="1" t="s">
        <v>36</v>
      </c>
      <c r="B29" s="3">
        <f>8333</f>
        <v>8333</v>
      </c>
      <c r="C29" s="3">
        <f>8333</f>
        <v>8333</v>
      </c>
      <c r="D29" s="3">
        <f>8333</f>
        <v>8333</v>
      </c>
      <c r="E29" s="3">
        <f>8333</f>
        <v>8333</v>
      </c>
      <c r="F29" s="3">
        <f>8333</f>
        <v>8333</v>
      </c>
      <c r="G29" s="3">
        <f>8479.22</f>
        <v>8479.2199999999993</v>
      </c>
      <c r="H29" s="3">
        <f>8333</f>
        <v>8333</v>
      </c>
      <c r="I29" s="2">
        <f>'Example 1 _ Cash Flows'!AE51</f>
        <v>8333</v>
      </c>
      <c r="J29" s="2">
        <f>'Example 1 _ Cash Flows'!AE83</f>
        <v>8333</v>
      </c>
      <c r="K29" s="2">
        <f>'Example 1 _ Cash Flows'!AE112</f>
        <v>8333</v>
      </c>
      <c r="L29" s="2">
        <f>'Example 1 _ Cash Flows'!AE138</f>
        <v>8333</v>
      </c>
      <c r="M29" s="2">
        <f>'Example 1 _ Cash Flows'!AE166</f>
        <v>8333</v>
      </c>
      <c r="N29" s="3">
        <f t="shared" si="6"/>
        <v>100142.22</v>
      </c>
      <c r="O29" s="7" t="s">
        <v>356</v>
      </c>
    </row>
    <row r="30" spans="1:15" x14ac:dyDescent="0.3">
      <c r="A30" s="1" t="s">
        <v>37</v>
      </c>
      <c r="B30" s="3">
        <f>451.66</f>
        <v>451.66</v>
      </c>
      <c r="C30" s="3">
        <f>558.8</f>
        <v>558.79999999999995</v>
      </c>
      <c r="D30" s="3">
        <f>508.52</f>
        <v>508.52</v>
      </c>
      <c r="E30" s="3">
        <f>572.5</f>
        <v>572.5</v>
      </c>
      <c r="F30" s="3">
        <f>572.5</f>
        <v>572.5</v>
      </c>
      <c r="G30" s="3">
        <f>503.66</f>
        <v>503.66</v>
      </c>
      <c r="H30" s="2">
        <v>575</v>
      </c>
      <c r="I30" s="2">
        <f>SUM('Example 1 _ Cash Flows'!AN51)</f>
        <v>625</v>
      </c>
      <c r="J30" s="2">
        <f>'Example 1 _ Cash Flows'!AN83</f>
        <v>625</v>
      </c>
      <c r="K30" s="2">
        <f>'Example 1 _ Cash Flows'!AN112</f>
        <v>625</v>
      </c>
      <c r="L30" s="2">
        <f>'Example 1 _ Cash Flows'!AN138</f>
        <v>625</v>
      </c>
      <c r="M30" s="2">
        <f>'Example 1 _ Cash Flows'!AN166</f>
        <v>625</v>
      </c>
      <c r="N30" s="3">
        <f t="shared" si="6"/>
        <v>6867.6399999999994</v>
      </c>
    </row>
    <row r="31" spans="1:15" x14ac:dyDescent="0.3">
      <c r="A31" s="1" t="s">
        <v>38</v>
      </c>
      <c r="B31" s="2"/>
      <c r="C31" s="3">
        <f>25.5</f>
        <v>25.5</v>
      </c>
      <c r="D31" s="3">
        <f>500</f>
        <v>500</v>
      </c>
      <c r="E31" s="2"/>
      <c r="F31" s="3">
        <f>746</f>
        <v>746</v>
      </c>
      <c r="G31" s="126"/>
      <c r="H31" s="126"/>
      <c r="I31" s="126"/>
      <c r="J31" s="126"/>
      <c r="K31" s="126"/>
      <c r="L31" s="126"/>
      <c r="M31" s="126"/>
      <c r="N31" s="3">
        <f t="shared" si="6"/>
        <v>1271.5</v>
      </c>
    </row>
    <row r="32" spans="1:15" x14ac:dyDescent="0.3">
      <c r="A32" s="1" t="s">
        <v>39</v>
      </c>
      <c r="B32" s="3">
        <f>995</f>
        <v>995</v>
      </c>
      <c r="C32" s="2"/>
      <c r="D32" s="2"/>
      <c r="E32" s="2"/>
      <c r="F32" s="2"/>
      <c r="G32" s="126"/>
      <c r="H32" s="126"/>
      <c r="I32" s="126"/>
      <c r="J32" s="126"/>
      <c r="K32" s="126"/>
      <c r="L32" s="126"/>
      <c r="M32" s="126"/>
      <c r="N32" s="3">
        <f t="shared" si="6"/>
        <v>995</v>
      </c>
    </row>
    <row r="33" spans="1:15" x14ac:dyDescent="0.3">
      <c r="A33" s="1" t="s">
        <v>40</v>
      </c>
      <c r="B33" s="3">
        <f>544.28</f>
        <v>544.28</v>
      </c>
      <c r="C33" s="2"/>
      <c r="D33" s="3">
        <f>1851.65</f>
        <v>1851.65</v>
      </c>
      <c r="E33" s="3">
        <f>1116.66</f>
        <v>1116.6600000000001</v>
      </c>
      <c r="F33" s="3">
        <f>42.84</f>
        <v>42.84</v>
      </c>
      <c r="G33" s="126"/>
      <c r="H33" s="126"/>
      <c r="I33" s="126"/>
      <c r="J33" s="126"/>
      <c r="K33" s="126"/>
      <c r="L33" s="126"/>
      <c r="M33" s="126"/>
      <c r="N33" s="3">
        <f t="shared" si="6"/>
        <v>3555.4300000000003</v>
      </c>
    </row>
    <row r="34" spans="1:15" x14ac:dyDescent="0.3">
      <c r="A34" s="1" t="s">
        <v>41</v>
      </c>
      <c r="B34" s="3">
        <f>213.97</f>
        <v>213.97</v>
      </c>
      <c r="C34" s="3">
        <f>0</f>
        <v>0</v>
      </c>
      <c r="D34" s="3">
        <f>399.06</f>
        <v>399.06</v>
      </c>
      <c r="E34" s="3">
        <f>294.16</f>
        <v>294.16000000000003</v>
      </c>
      <c r="F34" s="3">
        <f>110</f>
        <v>110</v>
      </c>
      <c r="G34" s="126"/>
      <c r="H34" s="126"/>
      <c r="I34" s="126"/>
      <c r="J34" s="126"/>
      <c r="K34" s="126"/>
      <c r="L34" s="126"/>
      <c r="M34" s="126"/>
      <c r="N34" s="3">
        <f t="shared" si="6"/>
        <v>1017.19</v>
      </c>
    </row>
    <row r="35" spans="1:15" x14ac:dyDescent="0.3">
      <c r="A35" s="1" t="s">
        <v>42</v>
      </c>
      <c r="B35" s="4">
        <f t="shared" ref="B35:M35" si="8">(((((((B27)+(B28))+(B29))+(B30))+(B31))+(B32))+(B33))+(B34)</f>
        <v>18037.91</v>
      </c>
      <c r="C35" s="4">
        <f t="shared" si="8"/>
        <v>16417.3</v>
      </c>
      <c r="D35" s="4">
        <f t="shared" si="8"/>
        <v>19092.230000000003</v>
      </c>
      <c r="E35" s="4">
        <f t="shared" si="8"/>
        <v>17816.32</v>
      </c>
      <c r="F35" s="4">
        <f t="shared" si="8"/>
        <v>17304.34</v>
      </c>
      <c r="G35" s="4">
        <f t="shared" si="8"/>
        <v>16482.88</v>
      </c>
      <c r="H35" s="4">
        <f t="shared" si="8"/>
        <v>16408</v>
      </c>
      <c r="I35" s="4">
        <f t="shared" si="8"/>
        <v>16458</v>
      </c>
      <c r="J35" s="4">
        <f t="shared" si="8"/>
        <v>16458</v>
      </c>
      <c r="K35" s="4">
        <f t="shared" si="8"/>
        <v>16458</v>
      </c>
      <c r="L35" s="4">
        <f t="shared" si="8"/>
        <v>16458</v>
      </c>
      <c r="M35" s="4">
        <f t="shared" si="8"/>
        <v>16458</v>
      </c>
      <c r="N35" s="4">
        <f t="shared" si="6"/>
        <v>203848.98</v>
      </c>
    </row>
    <row r="36" spans="1:15" x14ac:dyDescent="0.3">
      <c r="A36" s="1" t="s">
        <v>43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>
        <f t="shared" si="6"/>
        <v>0</v>
      </c>
    </row>
    <row r="37" spans="1:15" x14ac:dyDescent="0.3">
      <c r="A37" s="1" t="s">
        <v>44</v>
      </c>
      <c r="B37" s="3">
        <f>2500</f>
        <v>2500</v>
      </c>
      <c r="C37" s="3">
        <f>2500</f>
        <v>2500</v>
      </c>
      <c r="D37" s="3">
        <f>2500</f>
        <v>2500</v>
      </c>
      <c r="E37" s="3">
        <f>2500</f>
        <v>2500</v>
      </c>
      <c r="F37" s="3">
        <f>2500</f>
        <v>2500</v>
      </c>
      <c r="G37" s="3">
        <f>2500</f>
        <v>2500</v>
      </c>
      <c r="H37" s="2">
        <f>SUM('Example 1 _ Cash Flows'!Z17)</f>
        <v>2500</v>
      </c>
      <c r="I37" s="2">
        <f>'Example 1 _ Cash Flows'!Z51</f>
        <v>2500</v>
      </c>
      <c r="J37" s="2">
        <f>'Example 1 _ Cash Flows'!Z83</f>
        <v>2500</v>
      </c>
      <c r="K37" s="2">
        <f>'Example 1 _ Cash Flows'!Z112</f>
        <v>2500</v>
      </c>
      <c r="L37" s="2">
        <f>'Example 1 _ Cash Flows'!Z138</f>
        <v>2500</v>
      </c>
      <c r="M37" s="2">
        <f>'Example 1 _ Cash Flows'!Z166</f>
        <v>2500</v>
      </c>
      <c r="N37" s="3">
        <f t="shared" si="6"/>
        <v>30000</v>
      </c>
    </row>
    <row r="38" spans="1:15" x14ac:dyDescent="0.3">
      <c r="A38" s="1" t="s">
        <v>45</v>
      </c>
      <c r="B38" s="3">
        <f>1677.84</f>
        <v>1677.84</v>
      </c>
      <c r="C38" s="3">
        <f>1668.22</f>
        <v>1668.22</v>
      </c>
      <c r="D38" s="3">
        <f>1663.02</f>
        <v>1663.02</v>
      </c>
      <c r="E38" s="3">
        <f>1680.3</f>
        <v>1680.3</v>
      </c>
      <c r="F38" s="3">
        <f>1656</f>
        <v>1656</v>
      </c>
      <c r="G38" s="3">
        <f>1709</f>
        <v>1709</v>
      </c>
      <c r="H38" s="3">
        <f>1584</f>
        <v>1584</v>
      </c>
      <c r="I38" s="2">
        <f>'Example 1 _ Cash Flows'!AD51</f>
        <v>1674</v>
      </c>
      <c r="J38" s="2">
        <f>'Example 1 _ Cash Flows'!AD83</f>
        <v>1674</v>
      </c>
      <c r="K38" s="2">
        <f>'Example 1 _ Cash Flows'!AD112</f>
        <v>1674</v>
      </c>
      <c r="L38" s="2">
        <f>'Example 1 _ Cash Flows'!AD138</f>
        <v>1674</v>
      </c>
      <c r="M38" s="2">
        <f>'Example 1 _ Cash Flows'!AD166</f>
        <v>1674</v>
      </c>
      <c r="N38" s="3">
        <f t="shared" si="6"/>
        <v>20008.38</v>
      </c>
    </row>
    <row r="39" spans="1:15" x14ac:dyDescent="0.3">
      <c r="A39" s="1" t="s">
        <v>46</v>
      </c>
      <c r="B39" s="3">
        <f t="shared" ref="B39:G39" si="9">88.95</f>
        <v>88.95</v>
      </c>
      <c r="C39" s="3">
        <f t="shared" si="9"/>
        <v>88.95</v>
      </c>
      <c r="D39" s="3">
        <f t="shared" si="9"/>
        <v>88.95</v>
      </c>
      <c r="E39" s="3">
        <f t="shared" si="9"/>
        <v>88.95</v>
      </c>
      <c r="F39" s="3">
        <f t="shared" si="9"/>
        <v>88.95</v>
      </c>
      <c r="G39" s="3">
        <f t="shared" si="9"/>
        <v>88.95</v>
      </c>
      <c r="H39" s="2">
        <f>'Example 1 _ Cash Flows'!AQ17</f>
        <v>0</v>
      </c>
      <c r="I39" s="2">
        <f>'Example 1 _ Cash Flows'!AQ51</f>
        <v>111.1875</v>
      </c>
      <c r="J39" s="2">
        <f>'Example 1 _ Cash Flows'!AQ83</f>
        <v>111.1875</v>
      </c>
      <c r="K39" s="2">
        <f>'Example 1 _ Cash Flows'!AQ112</f>
        <v>111.1875</v>
      </c>
      <c r="L39" s="2">
        <f>'Example 1 _ Cash Flows'!AQ138</f>
        <v>111.1875</v>
      </c>
      <c r="M39" s="2">
        <f>'Example 1 _ Cash Flows'!AQ166</f>
        <v>111.1875</v>
      </c>
      <c r="N39" s="3">
        <f t="shared" si="6"/>
        <v>1089.6375</v>
      </c>
    </row>
    <row r="40" spans="1:15" x14ac:dyDescent="0.3">
      <c r="A40" s="1" t="s">
        <v>47</v>
      </c>
      <c r="B40" s="4">
        <f t="shared" ref="B40:M40" si="10">(((B36)+(B37))+(B38))+(B39)</f>
        <v>4266.79</v>
      </c>
      <c r="C40" s="4">
        <f t="shared" si="10"/>
        <v>4257.17</v>
      </c>
      <c r="D40" s="4">
        <f t="shared" si="10"/>
        <v>4251.97</v>
      </c>
      <c r="E40" s="4">
        <f t="shared" si="10"/>
        <v>4269.25</v>
      </c>
      <c r="F40" s="4">
        <f t="shared" si="10"/>
        <v>4244.95</v>
      </c>
      <c r="G40" s="4">
        <f t="shared" si="10"/>
        <v>4297.95</v>
      </c>
      <c r="H40" s="4">
        <f t="shared" si="10"/>
        <v>4084</v>
      </c>
      <c r="I40" s="4">
        <f t="shared" si="10"/>
        <v>4285.1875</v>
      </c>
      <c r="J40" s="4">
        <f t="shared" si="10"/>
        <v>4285.1875</v>
      </c>
      <c r="K40" s="4">
        <f t="shared" si="10"/>
        <v>4285.1875</v>
      </c>
      <c r="L40" s="4">
        <f t="shared" si="10"/>
        <v>4285.1875</v>
      </c>
      <c r="M40" s="4">
        <f t="shared" si="10"/>
        <v>4285.1875</v>
      </c>
      <c r="N40" s="4">
        <f t="shared" si="6"/>
        <v>51098.017500000002</v>
      </c>
    </row>
    <row r="41" spans="1:15" x14ac:dyDescent="0.3">
      <c r="A41" s="1" t="s">
        <v>48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>
        <f t="shared" si="6"/>
        <v>0</v>
      </c>
    </row>
    <row r="42" spans="1:15" x14ac:dyDescent="0.3">
      <c r="A42" s="1" t="s">
        <v>49</v>
      </c>
      <c r="B42" s="3">
        <f>6549.33</f>
        <v>6549.33</v>
      </c>
      <c r="C42" s="3">
        <f>201.7</f>
        <v>201.7</v>
      </c>
      <c r="D42" s="3">
        <f>664.45</f>
        <v>664.45</v>
      </c>
      <c r="E42" s="3">
        <f>51</f>
        <v>51</v>
      </c>
      <c r="F42" s="2"/>
      <c r="G42" s="2"/>
      <c r="H42" s="126"/>
      <c r="I42" s="126"/>
      <c r="J42" s="126"/>
      <c r="K42" s="126"/>
      <c r="L42" s="126"/>
      <c r="M42" s="126"/>
      <c r="N42" s="3">
        <f t="shared" si="6"/>
        <v>7466.48</v>
      </c>
    </row>
    <row r="43" spans="1:15" x14ac:dyDescent="0.3">
      <c r="A43" s="1" t="s">
        <v>50</v>
      </c>
      <c r="B43" s="2"/>
      <c r="C43" s="3">
        <f>265</f>
        <v>265</v>
      </c>
      <c r="D43" s="3">
        <f>275.75</f>
        <v>275.75</v>
      </c>
      <c r="E43" s="2"/>
      <c r="F43" s="2"/>
      <c r="G43" s="2"/>
      <c r="H43" s="127">
        <f>3300</f>
        <v>3300</v>
      </c>
      <c r="I43" s="127">
        <f>3570</f>
        <v>3570</v>
      </c>
      <c r="J43" s="127">
        <f>3570</f>
        <v>3570</v>
      </c>
      <c r="K43" s="126"/>
      <c r="L43" s="126"/>
      <c r="M43" s="126"/>
      <c r="N43" s="3">
        <f t="shared" si="6"/>
        <v>10980.75</v>
      </c>
    </row>
    <row r="44" spans="1:15" x14ac:dyDescent="0.3">
      <c r="A44" s="1" t="s">
        <v>51</v>
      </c>
      <c r="B44" s="3">
        <f>1064.15</f>
        <v>1064.1500000000001</v>
      </c>
      <c r="C44" s="2"/>
      <c r="D44" s="2"/>
      <c r="E44" s="2"/>
      <c r="F44" s="2"/>
      <c r="G44" s="2"/>
      <c r="H44" s="126"/>
      <c r="I44" s="126"/>
      <c r="J44" s="404">
        <f>SUM('BB Example 3 _ Cash Flows'!AW86)</f>
        <v>4500</v>
      </c>
      <c r="K44" s="126"/>
      <c r="L44" s="126"/>
      <c r="M44" s="126"/>
      <c r="N44" s="3">
        <f t="shared" si="6"/>
        <v>5564.15</v>
      </c>
      <c r="O44" s="228" t="s">
        <v>394</v>
      </c>
    </row>
    <row r="45" spans="1:15" x14ac:dyDescent="0.3">
      <c r="A45" s="1" t="s">
        <v>52</v>
      </c>
      <c r="B45" s="3">
        <f>381.67</f>
        <v>381.67</v>
      </c>
      <c r="C45" s="3">
        <f>32.76</f>
        <v>32.76</v>
      </c>
      <c r="D45" s="3">
        <f>962.9</f>
        <v>962.9</v>
      </c>
      <c r="E45" s="2"/>
      <c r="F45" s="3">
        <f>149.38</f>
        <v>149.38</v>
      </c>
      <c r="G45" s="3">
        <f>2168.9</f>
        <v>2168.9</v>
      </c>
      <c r="H45" s="126"/>
      <c r="I45" s="126"/>
      <c r="J45" s="126"/>
      <c r="K45" s="126"/>
      <c r="L45" s="126"/>
      <c r="M45" s="126"/>
      <c r="N45" s="3">
        <f t="shared" si="6"/>
        <v>3695.61</v>
      </c>
    </row>
    <row r="46" spans="1:15" x14ac:dyDescent="0.3">
      <c r="A46" s="1" t="s">
        <v>53</v>
      </c>
      <c r="B46" s="2"/>
      <c r="C46" s="2"/>
      <c r="D46" s="2"/>
      <c r="E46" s="3">
        <f>805</f>
        <v>805</v>
      </c>
      <c r="F46" s="2"/>
      <c r="G46" s="2"/>
      <c r="H46" s="126"/>
      <c r="I46" s="126"/>
      <c r="J46" s="126"/>
      <c r="K46" s="126"/>
      <c r="L46" s="126"/>
      <c r="M46" s="126"/>
      <c r="N46" s="3">
        <f t="shared" si="6"/>
        <v>805</v>
      </c>
    </row>
    <row r="47" spans="1:15" x14ac:dyDescent="0.3">
      <c r="A47" s="1" t="s">
        <v>54</v>
      </c>
      <c r="B47" s="4">
        <f t="shared" ref="B47:M47" si="11">(((((B41)+(B42))+(B43))+(B44))+(B45))+(B46)</f>
        <v>7995.15</v>
      </c>
      <c r="C47" s="4">
        <f t="shared" si="11"/>
        <v>499.46</v>
      </c>
      <c r="D47" s="4">
        <f t="shared" si="11"/>
        <v>1903.1</v>
      </c>
      <c r="E47" s="4">
        <f t="shared" si="11"/>
        <v>856</v>
      </c>
      <c r="F47" s="4">
        <f t="shared" si="11"/>
        <v>149.38</v>
      </c>
      <c r="G47" s="4">
        <f t="shared" si="11"/>
        <v>2168.9</v>
      </c>
      <c r="H47" s="4">
        <f t="shared" si="11"/>
        <v>3300</v>
      </c>
      <c r="I47" s="4">
        <f t="shared" si="11"/>
        <v>3570</v>
      </c>
      <c r="J47" s="4">
        <f t="shared" si="11"/>
        <v>8070</v>
      </c>
      <c r="K47" s="4">
        <f t="shared" si="11"/>
        <v>0</v>
      </c>
      <c r="L47" s="4">
        <f t="shared" si="11"/>
        <v>0</v>
      </c>
      <c r="M47" s="4">
        <f t="shared" si="11"/>
        <v>0</v>
      </c>
      <c r="N47" s="4">
        <f t="shared" si="6"/>
        <v>28511.989999999998</v>
      </c>
    </row>
    <row r="48" spans="1:15" x14ac:dyDescent="0.3">
      <c r="A48" s="1" t="s">
        <v>55</v>
      </c>
      <c r="B48" s="4">
        <f t="shared" ref="B48:M48" si="12">((((B18)+(B26))+(B35))+(B40))+(B47)</f>
        <v>36199.230000000003</v>
      </c>
      <c r="C48" s="4">
        <f t="shared" si="12"/>
        <v>125073.03000000001</v>
      </c>
      <c r="D48" s="4">
        <f t="shared" si="12"/>
        <v>86194.38</v>
      </c>
      <c r="E48" s="4">
        <f t="shared" si="12"/>
        <v>77286.459999999992</v>
      </c>
      <c r="F48" s="4">
        <f t="shared" si="12"/>
        <v>73039.12</v>
      </c>
      <c r="G48" s="4">
        <f t="shared" si="12"/>
        <v>31201.95</v>
      </c>
      <c r="H48" s="4">
        <f t="shared" si="12"/>
        <v>31497.85</v>
      </c>
      <c r="I48" s="4">
        <f t="shared" si="12"/>
        <v>39188.1875</v>
      </c>
      <c r="J48" s="4">
        <f t="shared" si="12"/>
        <v>36188.1875</v>
      </c>
      <c r="K48" s="4">
        <f t="shared" si="12"/>
        <v>28118.1875</v>
      </c>
      <c r="L48" s="4">
        <f t="shared" si="12"/>
        <v>28118.1875</v>
      </c>
      <c r="M48" s="4">
        <f t="shared" si="12"/>
        <v>28118.1875</v>
      </c>
      <c r="N48" s="4">
        <f t="shared" si="6"/>
        <v>620222.95750000002</v>
      </c>
    </row>
    <row r="49" spans="1:15" x14ac:dyDescent="0.3">
      <c r="A49" s="1" t="s">
        <v>56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>
        <f t="shared" si="6"/>
        <v>0</v>
      </c>
    </row>
    <row r="50" spans="1:15" x14ac:dyDescent="0.3">
      <c r="A50" s="1" t="s">
        <v>57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>
        <f t="shared" si="6"/>
        <v>0</v>
      </c>
    </row>
    <row r="51" spans="1:15" x14ac:dyDescent="0.3">
      <c r="A51" s="1" t="s">
        <v>58</v>
      </c>
      <c r="B51" s="3">
        <f>1978.92</f>
        <v>1978.92</v>
      </c>
      <c r="C51" s="2"/>
      <c r="D51" s="3">
        <f>1185</f>
        <v>1185</v>
      </c>
      <c r="E51" s="3">
        <f>5154.97</f>
        <v>5154.97</v>
      </c>
      <c r="F51" s="2"/>
      <c r="G51" s="3">
        <f>1125</f>
        <v>1125</v>
      </c>
      <c r="H51" s="2">
        <f>SUM('Example 1 _ Cash Flows'!AU17)</f>
        <v>1967.22</v>
      </c>
      <c r="I51" s="2">
        <f>'Example 1 _ Cash Flows'!AU51</f>
        <v>3439.25</v>
      </c>
      <c r="J51" s="2">
        <f>'Example 1 _ Cash Flows'!AU83</f>
        <v>2707.6</v>
      </c>
      <c r="K51" s="2">
        <f>'Example 1 _ Cash Flows'!AU112</f>
        <v>0</v>
      </c>
      <c r="L51" s="2">
        <f>'Example 1 _ Cash Flows'!AU138</f>
        <v>0</v>
      </c>
      <c r="M51" s="2">
        <f>'Example 1 _ Cash Flows'!AU166</f>
        <v>0</v>
      </c>
      <c r="N51" s="3">
        <f t="shared" si="6"/>
        <v>17557.96</v>
      </c>
    </row>
    <row r="52" spans="1:15" x14ac:dyDescent="0.3">
      <c r="A52" s="1" t="s">
        <v>59</v>
      </c>
      <c r="B52" s="3">
        <f>644.77</f>
        <v>644.77</v>
      </c>
      <c r="C52" s="3">
        <f>340.63</f>
        <v>340.63</v>
      </c>
      <c r="D52" s="3">
        <f>540.08</f>
        <v>540.08000000000004</v>
      </c>
      <c r="E52" s="3">
        <f>791.34</f>
        <v>791.34</v>
      </c>
      <c r="F52" s="3">
        <f>280</f>
        <v>280</v>
      </c>
      <c r="G52" s="3">
        <f>719.64</f>
        <v>719.64</v>
      </c>
      <c r="H52" s="126"/>
      <c r="I52" s="126"/>
      <c r="J52" s="126"/>
      <c r="K52" s="126"/>
      <c r="L52" s="126"/>
      <c r="M52" s="126"/>
      <c r="N52" s="3">
        <f t="shared" si="6"/>
        <v>3316.46</v>
      </c>
    </row>
    <row r="53" spans="1:15" x14ac:dyDescent="0.3">
      <c r="A53" s="1" t="s">
        <v>60</v>
      </c>
      <c r="B53" s="3">
        <f>2640</f>
        <v>2640</v>
      </c>
      <c r="C53" s="2"/>
      <c r="D53" s="2"/>
      <c r="E53" s="3">
        <f>150</f>
        <v>150</v>
      </c>
      <c r="F53" s="2"/>
      <c r="G53" s="3">
        <f>600</f>
        <v>600</v>
      </c>
      <c r="H53" s="2">
        <f>SUM('Example 1 _ Cash Flows'!AO17)</f>
        <v>330.78</v>
      </c>
      <c r="I53" s="2">
        <f>SUM('Example 1 _ Cash Flows'!AO51)</f>
        <v>0</v>
      </c>
      <c r="J53" s="2">
        <f>'Example 1 _ Cash Flows'!AO83</f>
        <v>0</v>
      </c>
      <c r="K53" s="2">
        <f>'Example 1 _ Cash Flows'!AO112</f>
        <v>0</v>
      </c>
      <c r="L53" s="2">
        <f>'Example 1 _ Cash Flows'!AO138</f>
        <v>0</v>
      </c>
      <c r="M53" s="2">
        <f>'Example 1 _ Cash Flows'!AO166</f>
        <v>0</v>
      </c>
      <c r="N53" s="3">
        <f t="shared" si="6"/>
        <v>3720.7799999999997</v>
      </c>
    </row>
    <row r="54" spans="1:15" x14ac:dyDescent="0.3">
      <c r="A54" s="1" t="s">
        <v>61</v>
      </c>
      <c r="B54" s="2"/>
      <c r="C54" s="2"/>
      <c r="D54" s="2"/>
      <c r="E54" s="2"/>
      <c r="F54" s="2"/>
      <c r="G54" s="3">
        <f>90.67</f>
        <v>90.67</v>
      </c>
      <c r="H54" s="3">
        <f>1833.35</f>
        <v>1833.35</v>
      </c>
      <c r="I54" s="3">
        <f>1833.35</f>
        <v>1833.35</v>
      </c>
      <c r="J54" s="3">
        <f>1833.35</f>
        <v>1833.35</v>
      </c>
      <c r="K54" s="3">
        <f>1833.35</f>
        <v>1833.35</v>
      </c>
      <c r="L54" s="3">
        <f>1833.35</f>
        <v>1833.35</v>
      </c>
      <c r="M54" s="3">
        <f>1833.25</f>
        <v>1833.25</v>
      </c>
      <c r="N54" s="3">
        <f t="shared" si="6"/>
        <v>11090.67</v>
      </c>
    </row>
    <row r="55" spans="1:15" x14ac:dyDescent="0.3">
      <c r="A55" s="1" t="s">
        <v>62</v>
      </c>
      <c r="B55" s="4">
        <f t="shared" ref="B55:M55" si="13">((((B50)+(B51))+(B52))+(B53))+(B54)</f>
        <v>5263.6900000000005</v>
      </c>
      <c r="C55" s="4">
        <f t="shared" si="13"/>
        <v>340.63</v>
      </c>
      <c r="D55" s="4">
        <f t="shared" si="13"/>
        <v>1725.08</v>
      </c>
      <c r="E55" s="4">
        <f t="shared" si="13"/>
        <v>6096.31</v>
      </c>
      <c r="F55" s="4">
        <f t="shared" si="13"/>
        <v>280</v>
      </c>
      <c r="G55" s="4">
        <f t="shared" si="13"/>
        <v>2535.31</v>
      </c>
      <c r="H55" s="4">
        <f t="shared" si="13"/>
        <v>4131.3500000000004</v>
      </c>
      <c r="I55" s="4">
        <f t="shared" si="13"/>
        <v>5272.6</v>
      </c>
      <c r="J55" s="4">
        <f t="shared" si="13"/>
        <v>4540.95</v>
      </c>
      <c r="K55" s="4">
        <f t="shared" si="13"/>
        <v>1833.35</v>
      </c>
      <c r="L55" s="4">
        <f t="shared" si="13"/>
        <v>1833.35</v>
      </c>
      <c r="M55" s="4">
        <f t="shared" si="13"/>
        <v>1833.25</v>
      </c>
      <c r="N55" s="4">
        <f t="shared" si="6"/>
        <v>35685.870000000003</v>
      </c>
    </row>
    <row r="56" spans="1:15" x14ac:dyDescent="0.3">
      <c r="A56" s="1" t="s">
        <v>63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>
        <f t="shared" si="6"/>
        <v>0</v>
      </c>
    </row>
    <row r="57" spans="1:15" x14ac:dyDescent="0.3">
      <c r="A57" s="1" t="s">
        <v>64</v>
      </c>
      <c r="B57" s="2"/>
      <c r="C57" s="3">
        <f>4227.52</f>
        <v>4227.5200000000004</v>
      </c>
      <c r="D57" s="3">
        <f>10350.25</f>
        <v>10350.25</v>
      </c>
      <c r="E57" s="3">
        <f>1753.2</f>
        <v>1753.2</v>
      </c>
      <c r="F57" s="3">
        <f>705.41</f>
        <v>705.41</v>
      </c>
      <c r="G57" s="3">
        <f>6814.65</f>
        <v>6814.65</v>
      </c>
      <c r="H57" s="127">
        <f>2900</f>
        <v>2900</v>
      </c>
      <c r="I57" s="126"/>
      <c r="J57" s="126"/>
      <c r="K57" s="126"/>
      <c r="L57" s="126"/>
      <c r="M57" s="126"/>
      <c r="N57" s="3">
        <f t="shared" si="6"/>
        <v>26751.03</v>
      </c>
    </row>
    <row r="58" spans="1:15" x14ac:dyDescent="0.3">
      <c r="A58" s="1" t="s">
        <v>65</v>
      </c>
      <c r="B58" s="3">
        <f>2080</f>
        <v>2080</v>
      </c>
      <c r="C58" s="3">
        <f>2080</f>
        <v>2080</v>
      </c>
      <c r="D58" s="3">
        <f>1580</f>
        <v>1580</v>
      </c>
      <c r="E58" s="3">
        <f>1080</f>
        <v>1080</v>
      </c>
      <c r="F58" s="3">
        <f>4660</f>
        <v>4660</v>
      </c>
      <c r="G58" s="3">
        <f>1080</f>
        <v>1080</v>
      </c>
      <c r="H58" s="224">
        <f>1080+'Example 1 _ Cash Flows'!X17</f>
        <v>1080</v>
      </c>
      <c r="I58" s="225">
        <f>SUM('Example 1 _ Cash Flows'!X51)</f>
        <v>1080</v>
      </c>
      <c r="J58" s="227">
        <f>'BB Example 4 _ Cash Flows'!X84</f>
        <v>72480</v>
      </c>
      <c r="K58" s="225">
        <f>'Example 1 _ Cash Flows'!X112</f>
        <v>1080</v>
      </c>
      <c r="L58" s="225">
        <f>'Example 1 _ Cash Flows'!X138</f>
        <v>1080</v>
      </c>
      <c r="M58" s="225">
        <f>'Example 1 _ Cash Flows'!X166</f>
        <v>1080</v>
      </c>
      <c r="N58" s="224">
        <f t="shared" si="6"/>
        <v>90440</v>
      </c>
      <c r="O58" s="228" t="s">
        <v>365</v>
      </c>
    </row>
    <row r="59" spans="1:15" x14ac:dyDescent="0.3">
      <c r="A59" s="1" t="s">
        <v>66</v>
      </c>
      <c r="B59" s="3">
        <f>2700</f>
        <v>2700</v>
      </c>
      <c r="C59" s="3">
        <f>3402.7</f>
        <v>3402.7</v>
      </c>
      <c r="D59" s="3">
        <f>288.35</f>
        <v>288.35000000000002</v>
      </c>
      <c r="E59" s="3">
        <f>200</f>
        <v>200</v>
      </c>
      <c r="F59" s="3">
        <f>200</f>
        <v>200</v>
      </c>
      <c r="G59" s="3">
        <f>200</f>
        <v>200</v>
      </c>
      <c r="H59" s="3">
        <f>200</f>
        <v>200</v>
      </c>
      <c r="I59" s="2">
        <f>SUM('Example 1 _ Cash Flows'!AM51)</f>
        <v>200</v>
      </c>
      <c r="J59" s="2">
        <f>SUM('Example 1 _ Cash Flows'!AM83)</f>
        <v>200</v>
      </c>
      <c r="K59" s="2">
        <f>SUM('Example 1 _ Cash Flows'!AM112)</f>
        <v>200</v>
      </c>
      <c r="L59" s="2">
        <f>SUM('Example 1 _ Cash Flows'!AM138)</f>
        <v>200</v>
      </c>
      <c r="M59" s="2">
        <f>SUM('Example 1 _ Cash Flows'!AM166)</f>
        <v>200</v>
      </c>
      <c r="N59" s="3">
        <f t="shared" si="6"/>
        <v>8191.05</v>
      </c>
    </row>
    <row r="60" spans="1:15" x14ac:dyDescent="0.3">
      <c r="A60" s="1" t="s">
        <v>67</v>
      </c>
      <c r="B60" s="4">
        <f t="shared" ref="B60:M60" si="14">(((B56)+(B57))+(B58))+(B59)</f>
        <v>4780</v>
      </c>
      <c r="C60" s="4">
        <f t="shared" si="14"/>
        <v>9710.2200000000012</v>
      </c>
      <c r="D60" s="4">
        <f t="shared" si="14"/>
        <v>12218.6</v>
      </c>
      <c r="E60" s="4">
        <f t="shared" si="14"/>
        <v>3033.2</v>
      </c>
      <c r="F60" s="4">
        <f t="shared" si="14"/>
        <v>5565.41</v>
      </c>
      <c r="G60" s="4">
        <f t="shared" si="14"/>
        <v>8094.65</v>
      </c>
      <c r="H60" s="4">
        <f t="shared" si="14"/>
        <v>4180</v>
      </c>
      <c r="I60" s="4">
        <f t="shared" si="14"/>
        <v>1280</v>
      </c>
      <c r="J60" s="4">
        <f t="shared" si="14"/>
        <v>72680</v>
      </c>
      <c r="K60" s="4">
        <f t="shared" si="14"/>
        <v>1280</v>
      </c>
      <c r="L60" s="4">
        <f t="shared" si="14"/>
        <v>1280</v>
      </c>
      <c r="M60" s="4">
        <f t="shared" si="14"/>
        <v>1280</v>
      </c>
      <c r="N60" s="4">
        <f t="shared" si="6"/>
        <v>125382.08</v>
      </c>
    </row>
    <row r="61" spans="1:15" x14ac:dyDescent="0.3">
      <c r="A61" s="1" t="s">
        <v>68</v>
      </c>
      <c r="B61" s="4">
        <f t="shared" ref="B61:M61" si="15">((B49)+(B55))+(B60)</f>
        <v>10043.69</v>
      </c>
      <c r="C61" s="4">
        <f t="shared" si="15"/>
        <v>10050.85</v>
      </c>
      <c r="D61" s="4">
        <f t="shared" si="15"/>
        <v>13943.68</v>
      </c>
      <c r="E61" s="4">
        <f t="shared" si="15"/>
        <v>9129.51</v>
      </c>
      <c r="F61" s="4">
        <f t="shared" si="15"/>
        <v>5845.41</v>
      </c>
      <c r="G61" s="4">
        <f t="shared" si="15"/>
        <v>10629.96</v>
      </c>
      <c r="H61" s="4">
        <f t="shared" si="15"/>
        <v>8311.35</v>
      </c>
      <c r="I61" s="4">
        <f t="shared" si="15"/>
        <v>6552.6</v>
      </c>
      <c r="J61" s="4">
        <f t="shared" si="15"/>
        <v>77220.95</v>
      </c>
      <c r="K61" s="4">
        <f t="shared" si="15"/>
        <v>3113.35</v>
      </c>
      <c r="L61" s="4">
        <f t="shared" si="15"/>
        <v>3113.35</v>
      </c>
      <c r="M61" s="4">
        <f t="shared" si="15"/>
        <v>3113.25</v>
      </c>
      <c r="N61" s="4">
        <f t="shared" si="6"/>
        <v>161067.95000000001</v>
      </c>
    </row>
    <row r="62" spans="1:15" x14ac:dyDescent="0.3">
      <c r="A62" s="1" t="s">
        <v>69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>
        <f t="shared" si="6"/>
        <v>0</v>
      </c>
    </row>
    <row r="63" spans="1:15" x14ac:dyDescent="0.3">
      <c r="A63" s="20" t="s">
        <v>389</v>
      </c>
      <c r="B63" s="2"/>
      <c r="C63" s="2"/>
      <c r="D63" s="2"/>
      <c r="E63" s="2"/>
      <c r="F63" s="2"/>
      <c r="G63" s="2"/>
      <c r="H63" s="2"/>
      <c r="I63" s="226">
        <f>'BB Example 3 _ Cash Flows'!AX52</f>
        <v>5000</v>
      </c>
      <c r="J63" s="226">
        <f>'BB Example 3 _ Cash Flows'!AX86</f>
        <v>5000</v>
      </c>
      <c r="K63" s="226">
        <f>'BB Example 3 _ Cash Flows'!AX116</f>
        <v>5000</v>
      </c>
      <c r="L63" s="226">
        <f>'BB Example 3 _ Cash Flows'!AX144</f>
        <v>5000</v>
      </c>
      <c r="M63" s="226">
        <f>'BB Example 3 _ Cash Flows'!AX174</f>
        <v>5000</v>
      </c>
      <c r="N63" s="227">
        <f t="shared" si="6"/>
        <v>25000</v>
      </c>
      <c r="O63" s="228" t="s">
        <v>391</v>
      </c>
    </row>
    <row r="64" spans="1:15" x14ac:dyDescent="0.3">
      <c r="A64" s="1" t="s">
        <v>71</v>
      </c>
      <c r="B64" s="3">
        <f>280</f>
        <v>280</v>
      </c>
      <c r="C64" s="3">
        <f>458.5</f>
        <v>458.5</v>
      </c>
      <c r="D64" s="3">
        <f>385</f>
        <v>385</v>
      </c>
      <c r="E64" s="3">
        <f>673.75</f>
        <v>673.75</v>
      </c>
      <c r="F64" s="3">
        <f>367.5</f>
        <v>367.5</v>
      </c>
      <c r="G64" s="2"/>
      <c r="H64" s="2">
        <f>SUM('BB Example 2 _ Cash Flows'!AV17)</f>
        <v>750</v>
      </c>
      <c r="I64" s="226">
        <f>SUM('BB Example 3 _ Cash Flows'!AV52)</f>
        <v>800</v>
      </c>
      <c r="J64" s="226">
        <f>'BB Example 3 _ Cash Flows'!AV86</f>
        <v>800</v>
      </c>
      <c r="K64" s="226">
        <f>'BB Example 3 _ Cash Flows'!AV116</f>
        <v>800</v>
      </c>
      <c r="L64" s="226">
        <f>'BB Example 3 _ Cash Flows'!AV144</f>
        <v>800</v>
      </c>
      <c r="M64" s="226">
        <f>'BB Example 3 _ Cash Flows'!AV174</f>
        <v>800</v>
      </c>
      <c r="N64" s="227">
        <f t="shared" si="6"/>
        <v>6914.75</v>
      </c>
      <c r="O64" s="481" t="s">
        <v>357</v>
      </c>
    </row>
    <row r="65" spans="1:14" x14ac:dyDescent="0.3">
      <c r="A65" s="1" t="s">
        <v>72</v>
      </c>
      <c r="B65" s="2"/>
      <c r="C65" s="2"/>
      <c r="D65" s="2"/>
      <c r="E65" s="2"/>
      <c r="F65" s="3">
        <f>263.97</f>
        <v>263.97000000000003</v>
      </c>
      <c r="G65" s="3">
        <f>124.02</f>
        <v>124.02</v>
      </c>
      <c r="H65" s="127">
        <f>2</f>
        <v>2</v>
      </c>
      <c r="I65" s="126"/>
      <c r="J65" s="126"/>
      <c r="K65" s="126"/>
      <c r="L65" s="126"/>
      <c r="M65" s="126"/>
      <c r="N65" s="3">
        <f>(((((((((((B65)+(C65))+(D65))+(E65))+(F65))+(G65))+(H65))+(I65))+(J65))+(K65))+(L65))+(M65)</f>
        <v>389.99</v>
      </c>
    </row>
    <row r="66" spans="1:14" x14ac:dyDescent="0.3">
      <c r="A66" s="1" t="s">
        <v>73</v>
      </c>
      <c r="B66" s="2"/>
      <c r="C66" s="2"/>
      <c r="D66" s="2"/>
      <c r="E66" s="3">
        <f>35.25</f>
        <v>35.25</v>
      </c>
      <c r="F66" s="2"/>
      <c r="G66" s="3">
        <f>122.74</f>
        <v>122.74</v>
      </c>
      <c r="H66" s="127">
        <f>4350.62</f>
        <v>4350.62</v>
      </c>
      <c r="I66" s="126"/>
      <c r="J66" s="126"/>
      <c r="K66" s="126"/>
      <c r="L66" s="126"/>
      <c r="M66" s="126"/>
      <c r="N66" s="3">
        <f>(((((((((((B66)+(C66))+(D66))+(E66))+(F66))+(G66))+(H66))+(I66))+(J66))+(K66))+(L66))+(M66)</f>
        <v>4508.6099999999997</v>
      </c>
    </row>
    <row r="67" spans="1:14" x14ac:dyDescent="0.3">
      <c r="A67" s="1" t="s">
        <v>74</v>
      </c>
      <c r="B67" s="3">
        <f>259.83</f>
        <v>259.83</v>
      </c>
      <c r="C67" s="3">
        <f>115.34</f>
        <v>115.34</v>
      </c>
      <c r="D67" s="3">
        <f>146.04</f>
        <v>146.04</v>
      </c>
      <c r="E67" s="3">
        <f>132.68</f>
        <v>132.68</v>
      </c>
      <c r="F67" s="3">
        <f>243.28</f>
        <v>243.28</v>
      </c>
      <c r="G67" s="3">
        <f>131.71</f>
        <v>131.71</v>
      </c>
      <c r="H67" s="3">
        <f>122.82</f>
        <v>122.82</v>
      </c>
      <c r="I67" s="2">
        <f>SUM('Example 1 _ Cash Flows'!AF51)</f>
        <v>150</v>
      </c>
      <c r="J67" s="2">
        <f>SUM('Example 1 _ Cash Flows'!AF83)</f>
        <v>150</v>
      </c>
      <c r="K67" s="2">
        <f>SUM('Example 1 _ Cash Flows'!AF112)</f>
        <v>150</v>
      </c>
      <c r="L67" s="2">
        <f>SUM('Example 1 _ Cash Flows'!AF138)</f>
        <v>150</v>
      </c>
      <c r="M67" s="2">
        <f>SUM('Example 1 _ Cash Flows'!AF166)</f>
        <v>150</v>
      </c>
      <c r="N67" s="3">
        <f t="shared" si="6"/>
        <v>1901.6999999999998</v>
      </c>
    </row>
    <row r="68" spans="1:14" x14ac:dyDescent="0.3">
      <c r="A68" s="1" t="s">
        <v>75</v>
      </c>
      <c r="B68" s="3">
        <f>912.46</f>
        <v>912.46</v>
      </c>
      <c r="C68" s="3">
        <f>979.84</f>
        <v>979.84</v>
      </c>
      <c r="D68" s="3">
        <f>658.85</f>
        <v>658.85</v>
      </c>
      <c r="E68" s="3">
        <f>982.95</f>
        <v>982.95</v>
      </c>
      <c r="F68" s="3">
        <f>814.83</f>
        <v>814.83</v>
      </c>
      <c r="G68" s="3">
        <f>1166.7</f>
        <v>1166.7</v>
      </c>
      <c r="H68" s="3">
        <f>SUM(I68)</f>
        <v>778.6875</v>
      </c>
      <c r="I68" s="2">
        <f>'Example 1 _ Cash Flows'!Y51</f>
        <v>778.6875</v>
      </c>
      <c r="J68" s="2">
        <f>'Example 1 _ Cash Flows'!Y83</f>
        <v>778.6875</v>
      </c>
      <c r="K68" s="2">
        <f>'Example 1 _ Cash Flows'!Y112</f>
        <v>778.6875</v>
      </c>
      <c r="L68" s="2">
        <f>'Example 1 _ Cash Flows'!Y138</f>
        <v>778.6875</v>
      </c>
      <c r="M68" s="2">
        <f>'Example 1 _ Cash Flows'!Y166</f>
        <v>778.6875</v>
      </c>
      <c r="N68" s="3">
        <f t="shared" si="6"/>
        <v>10187.755000000001</v>
      </c>
    </row>
    <row r="69" spans="1:14" x14ac:dyDescent="0.3">
      <c r="A69" s="1" t="s">
        <v>76</v>
      </c>
      <c r="B69" s="3">
        <f>279.99</f>
        <v>279.99</v>
      </c>
      <c r="C69" s="3">
        <f>4359.99</f>
        <v>4359.99</v>
      </c>
      <c r="D69" s="2"/>
      <c r="E69" s="3">
        <f>1290</f>
        <v>1290</v>
      </c>
      <c r="F69" s="2"/>
      <c r="G69" s="2"/>
      <c r="H69" s="126"/>
      <c r="I69" s="126"/>
      <c r="J69" s="126"/>
      <c r="K69" s="126"/>
      <c r="L69" s="126"/>
      <c r="M69" s="126"/>
      <c r="N69" s="3">
        <f t="shared" si="6"/>
        <v>5929.98</v>
      </c>
    </row>
    <row r="70" spans="1:14" x14ac:dyDescent="0.3">
      <c r="A70" s="1" t="s">
        <v>77</v>
      </c>
      <c r="B70" s="3">
        <f>66</f>
        <v>66</v>
      </c>
      <c r="C70" s="2"/>
      <c r="D70" s="2"/>
      <c r="E70" s="2"/>
      <c r="F70" s="2"/>
      <c r="G70" s="2"/>
      <c r="H70" s="127">
        <f>49</f>
        <v>49</v>
      </c>
      <c r="I70" s="126"/>
      <c r="J70" s="126"/>
      <c r="K70" s="126"/>
      <c r="L70" s="126"/>
      <c r="M70" s="126"/>
      <c r="N70" s="3">
        <f t="shared" si="6"/>
        <v>115</v>
      </c>
    </row>
    <row r="71" spans="1:14" x14ac:dyDescent="0.3">
      <c r="A71" s="1" t="s">
        <v>78</v>
      </c>
      <c r="B71" s="2"/>
      <c r="C71" s="3">
        <f>165.98</f>
        <v>165.98</v>
      </c>
      <c r="D71" s="3">
        <f>381.04</f>
        <v>381.04</v>
      </c>
      <c r="E71" s="3">
        <f>347.66</f>
        <v>347.66</v>
      </c>
      <c r="F71" s="3">
        <f>752.46</f>
        <v>752.46</v>
      </c>
      <c r="G71" s="3">
        <f>297.77</f>
        <v>297.77</v>
      </c>
      <c r="H71" s="126"/>
      <c r="I71" s="126"/>
      <c r="J71" s="126"/>
      <c r="K71" s="126"/>
      <c r="L71" s="126"/>
      <c r="M71" s="126"/>
      <c r="N71" s="3">
        <f t="shared" si="6"/>
        <v>1944.91</v>
      </c>
    </row>
    <row r="72" spans="1:14" x14ac:dyDescent="0.3">
      <c r="A72" s="1" t="s">
        <v>79</v>
      </c>
      <c r="B72" s="3">
        <f>1317.74</f>
        <v>1317.74</v>
      </c>
      <c r="C72" s="3">
        <f>568.94</f>
        <v>568.94000000000005</v>
      </c>
      <c r="D72" s="3">
        <f>131.25</f>
        <v>131.25</v>
      </c>
      <c r="E72" s="3">
        <f>53.93</f>
        <v>53.93</v>
      </c>
      <c r="F72" s="3">
        <f>878</f>
        <v>878</v>
      </c>
      <c r="G72" s="3">
        <f>1472.34</f>
        <v>1472.34</v>
      </c>
      <c r="H72" s="127">
        <f>0</f>
        <v>0</v>
      </c>
      <c r="I72" s="126"/>
      <c r="J72" s="126"/>
      <c r="K72" s="126"/>
      <c r="L72" s="126"/>
      <c r="M72" s="126"/>
      <c r="N72" s="3">
        <f t="shared" si="6"/>
        <v>4422.2</v>
      </c>
    </row>
    <row r="73" spans="1:14" x14ac:dyDescent="0.3">
      <c r="A73" s="1" t="s">
        <v>80</v>
      </c>
      <c r="B73" s="3">
        <f>51.8</f>
        <v>51.8</v>
      </c>
      <c r="C73" s="3">
        <f>524.53</f>
        <v>524.53</v>
      </c>
      <c r="D73" s="3">
        <f>111.95</f>
        <v>111.95</v>
      </c>
      <c r="E73" s="3">
        <f>213.08</f>
        <v>213.08</v>
      </c>
      <c r="F73" s="3">
        <f>304.39</f>
        <v>304.39</v>
      </c>
      <c r="G73" s="3">
        <f>100.45</f>
        <v>100.45</v>
      </c>
      <c r="H73" s="127">
        <f>55</f>
        <v>55</v>
      </c>
      <c r="I73" s="126"/>
      <c r="J73" s="126"/>
      <c r="K73" s="126"/>
      <c r="L73" s="126"/>
      <c r="M73" s="126"/>
      <c r="N73" s="3">
        <f t="shared" si="6"/>
        <v>1361.2</v>
      </c>
    </row>
    <row r="74" spans="1:14" x14ac:dyDescent="0.3">
      <c r="A74" s="1" t="s">
        <v>81</v>
      </c>
      <c r="B74" s="3">
        <f>817.24</f>
        <v>817.24</v>
      </c>
      <c r="C74" s="3">
        <f>1413.11</f>
        <v>1413.11</v>
      </c>
      <c r="D74" s="3">
        <f>1005.44</f>
        <v>1005.44</v>
      </c>
      <c r="E74" s="3">
        <f>2662.69</f>
        <v>2662.69</v>
      </c>
      <c r="F74" s="3">
        <f>3020.58</f>
        <v>3020.58</v>
      </c>
      <c r="G74" s="3">
        <f>395.97</f>
        <v>395.97</v>
      </c>
      <c r="H74" s="2"/>
      <c r="I74" s="2">
        <f>'Example 1 _ Cash Flows'!AX51</f>
        <v>1750</v>
      </c>
      <c r="J74" s="2">
        <f>'Example 1 _ Cash Flows'!AX83</f>
        <v>1750</v>
      </c>
      <c r="K74" s="2">
        <f>'Example 1 _ Cash Flows'!AX112</f>
        <v>3250</v>
      </c>
      <c r="L74" s="2">
        <f>'Example 1 _ Cash Flows'!AX138</f>
        <v>1750</v>
      </c>
      <c r="M74" s="2">
        <f>'Example 1 _ Cash Flows'!AX166</f>
        <v>1750</v>
      </c>
      <c r="N74" s="3">
        <f t="shared" si="6"/>
        <v>19565.03</v>
      </c>
    </row>
    <row r="75" spans="1:14" x14ac:dyDescent="0.3">
      <c r="A75" s="1" t="s">
        <v>82</v>
      </c>
      <c r="B75" s="4">
        <f t="shared" ref="B75:M75" si="16">(((((((((((B63)+(B64))+(B65))+(B66))+(B67))+(B68))+(B69))+(B70))+(B71))+(B72))+(B73))+(B74)</f>
        <v>3985.0600000000004</v>
      </c>
      <c r="C75" s="4">
        <f t="shared" si="16"/>
        <v>8586.23</v>
      </c>
      <c r="D75" s="4">
        <f t="shared" si="16"/>
        <v>2819.5699999999997</v>
      </c>
      <c r="E75" s="4">
        <f t="shared" si="16"/>
        <v>6391.99</v>
      </c>
      <c r="F75" s="4">
        <f t="shared" si="16"/>
        <v>6645.01</v>
      </c>
      <c r="G75" s="4">
        <f t="shared" si="16"/>
        <v>3811.7</v>
      </c>
      <c r="H75" s="4">
        <f t="shared" si="16"/>
        <v>6108.1274999999996</v>
      </c>
      <c r="I75" s="4">
        <f>(((((((((((I63)+(I64))+(I65))+(I66))+(I67))+(I68))+(I69))+(I70))+(I71))+(I72))+(I73))+(I74)</f>
        <v>8478.6875</v>
      </c>
      <c r="J75" s="4">
        <f t="shared" si="16"/>
        <v>8478.6875</v>
      </c>
      <c r="K75" s="4">
        <f t="shared" si="16"/>
        <v>9978.6875</v>
      </c>
      <c r="L75" s="4">
        <f t="shared" si="16"/>
        <v>8478.6875</v>
      </c>
      <c r="M75" s="4">
        <f t="shared" si="16"/>
        <v>8478.6875</v>
      </c>
      <c r="N75" s="4">
        <f t="shared" si="6"/>
        <v>82241.125</v>
      </c>
    </row>
    <row r="76" spans="1:14" x14ac:dyDescent="0.3">
      <c r="A76" s="1" t="s">
        <v>83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>
        <f t="shared" si="6"/>
        <v>0</v>
      </c>
    </row>
    <row r="77" spans="1:14" x14ac:dyDescent="0.3">
      <c r="A77" s="1" t="s">
        <v>84</v>
      </c>
      <c r="B77" s="3">
        <f>2530</f>
        <v>2530</v>
      </c>
      <c r="C77" s="3">
        <f>2350</f>
        <v>2350</v>
      </c>
      <c r="D77" s="3">
        <f>2350</f>
        <v>2350</v>
      </c>
      <c r="E77" s="3">
        <f>2350</f>
        <v>2350</v>
      </c>
      <c r="F77" s="3">
        <f>2350</f>
        <v>2350</v>
      </c>
      <c r="G77" s="3">
        <f>2350</f>
        <v>2350</v>
      </c>
      <c r="H77" s="3">
        <f>2350</f>
        <v>2350</v>
      </c>
      <c r="I77" s="124">
        <f>'Example 1 _ Cash Flows'!AC51</f>
        <v>2350</v>
      </c>
      <c r="J77" s="2">
        <f>'Example 1 _ Cash Flows'!AC83</f>
        <v>2350</v>
      </c>
      <c r="K77" s="2">
        <f>'Example 1 _ Cash Flows'!AC112</f>
        <v>2350</v>
      </c>
      <c r="L77" s="2">
        <f>'Example 1 _ Cash Flows'!AC138</f>
        <v>2350</v>
      </c>
      <c r="M77" s="2">
        <f>'Example 1 _ Cash Flows'!AC166</f>
        <v>2350</v>
      </c>
      <c r="N77" s="3">
        <f t="shared" si="6"/>
        <v>28380</v>
      </c>
    </row>
    <row r="78" spans="1:14" x14ac:dyDescent="0.3">
      <c r="A78" s="1" t="s">
        <v>85</v>
      </c>
      <c r="B78" s="3">
        <f>2126.31</f>
        <v>2126.31</v>
      </c>
      <c r="C78" s="2"/>
      <c r="D78" s="2"/>
      <c r="E78" s="2"/>
      <c r="F78" s="2"/>
      <c r="G78" s="2"/>
      <c r="H78" s="126"/>
      <c r="I78" s="126"/>
      <c r="J78" s="126"/>
      <c r="K78" s="126"/>
      <c r="L78" s="126"/>
      <c r="M78" s="126"/>
      <c r="N78" s="3">
        <f t="shared" si="6"/>
        <v>2126.31</v>
      </c>
    </row>
    <row r="79" spans="1:14" x14ac:dyDescent="0.3">
      <c r="A79" s="1" t="s">
        <v>86</v>
      </c>
      <c r="B79" s="3">
        <f>687.41</f>
        <v>687.41</v>
      </c>
      <c r="C79" s="3">
        <f>483.45</f>
        <v>483.45</v>
      </c>
      <c r="D79" s="3">
        <f>318.7</f>
        <v>318.7</v>
      </c>
      <c r="E79" s="3">
        <f>819.87</f>
        <v>819.87</v>
      </c>
      <c r="F79" s="3">
        <f>339.41</f>
        <v>339.41</v>
      </c>
      <c r="G79" s="3">
        <f>218.49</f>
        <v>218.49</v>
      </c>
      <c r="H79" s="3">
        <f>94.95+'Example 1 _ Cash Flows'!U17</f>
        <v>194.95</v>
      </c>
      <c r="I79" s="2">
        <f>'Example 1 _ Cash Flows'!U51</f>
        <v>294.95</v>
      </c>
      <c r="J79" s="2">
        <f>'Example 1 _ Cash Flows'!U83</f>
        <v>294.95</v>
      </c>
      <c r="K79" s="2">
        <f>'Example 1 _ Cash Flows'!U112</f>
        <v>294.95</v>
      </c>
      <c r="L79" s="2">
        <f>'Example 1 _ Cash Flows'!U138</f>
        <v>294.95</v>
      </c>
      <c r="M79" s="2">
        <f>'Example 1 _ Cash Flows'!U166</f>
        <v>294.95</v>
      </c>
      <c r="N79" s="3">
        <f t="shared" si="6"/>
        <v>4537.0299999999988</v>
      </c>
    </row>
    <row r="80" spans="1:14" x14ac:dyDescent="0.3">
      <c r="A80" s="1" t="s">
        <v>87</v>
      </c>
      <c r="B80" s="2"/>
      <c r="C80" s="3">
        <f>62.58</f>
        <v>62.58</v>
      </c>
      <c r="D80" s="2"/>
      <c r="E80" s="2"/>
      <c r="F80" s="2"/>
      <c r="G80" s="2"/>
      <c r="H80" s="126"/>
      <c r="I80" s="126"/>
      <c r="J80" s="126"/>
      <c r="K80" s="126"/>
      <c r="L80" s="126"/>
      <c r="M80" s="126"/>
      <c r="N80" s="3">
        <f t="shared" si="6"/>
        <v>62.58</v>
      </c>
    </row>
    <row r="81" spans="1:15" x14ac:dyDescent="0.3">
      <c r="A81" s="1" t="s">
        <v>88</v>
      </c>
      <c r="B81" s="3">
        <f>970.79</f>
        <v>970.79</v>
      </c>
      <c r="C81" s="3">
        <f>912.44</f>
        <v>912.44</v>
      </c>
      <c r="D81" s="3">
        <f>1010.57</f>
        <v>1010.57</v>
      </c>
      <c r="E81" s="3">
        <f>870.18</f>
        <v>870.18</v>
      </c>
      <c r="F81" s="3">
        <f>813.03</f>
        <v>813.03</v>
      </c>
      <c r="G81" s="3">
        <f>812.9</f>
        <v>812.9</v>
      </c>
      <c r="H81" s="3">
        <f>200+'Example 1 _ Cash Flows'!V17+'Example 1 _ Cash Flows'!W17</f>
        <v>1651.8200000000002</v>
      </c>
      <c r="I81" s="3">
        <f>200+'Example 1 _ Cash Flows'!V51</f>
        <v>908.65</v>
      </c>
      <c r="J81" s="3">
        <f>200+'Example 1 _ Cash Flows'!V83</f>
        <v>908.65</v>
      </c>
      <c r="K81" s="3">
        <f>200+'Example 1 _ Cash Flows'!V112</f>
        <v>908.65</v>
      </c>
      <c r="L81" s="3">
        <f>200+'Example 1 _ Cash Flows'!V138</f>
        <v>908.65</v>
      </c>
      <c r="M81" s="3">
        <f>200+'Example 1 _ Cash Flows'!V166</f>
        <v>908.65</v>
      </c>
      <c r="N81" s="3">
        <f t="shared" si="6"/>
        <v>11584.979999999998</v>
      </c>
    </row>
    <row r="82" spans="1:15" x14ac:dyDescent="0.3">
      <c r="A82" s="1" t="s">
        <v>89</v>
      </c>
      <c r="B82" s="3">
        <f>719.91</f>
        <v>719.91</v>
      </c>
      <c r="C82" s="3">
        <f>813.28</f>
        <v>813.28</v>
      </c>
      <c r="D82" s="3">
        <f>831.52</f>
        <v>831.52</v>
      </c>
      <c r="E82" s="3">
        <f>735.63</f>
        <v>735.63</v>
      </c>
      <c r="F82" s="3">
        <f>532.08</f>
        <v>532.08000000000004</v>
      </c>
      <c r="G82" s="3">
        <f>835.76</f>
        <v>835.76</v>
      </c>
      <c r="H82" s="3">
        <f>362.8+'Example 1 _ Cash Flows'!W17</f>
        <v>1355.97</v>
      </c>
      <c r="I82" s="3">
        <f>44.94+'Example 1 _ Cash Flows'!W51</f>
        <v>1105.8375000000001</v>
      </c>
      <c r="J82" s="2">
        <f>SUM('Example 1 _ Cash Flows'!W83)</f>
        <v>779.72749999999996</v>
      </c>
      <c r="K82" s="2">
        <f>SUM('Example 1 _ Cash Flows'!W112)</f>
        <v>779.72749999999996</v>
      </c>
      <c r="L82" s="2">
        <f>SUM('Example 1 _ Cash Flows'!W138)</f>
        <v>779.72749999999996</v>
      </c>
      <c r="M82" s="2">
        <f>SUM('Example 1 _ Cash Flows'!W166)</f>
        <v>779.72749999999996</v>
      </c>
      <c r="N82" s="3">
        <f t="shared" ref="N82:N99" si="17">(((((((((((B82)+(C82))+(D82))+(E82))+(F82))+(G82))+(H82))+(I82))+(J82))+(K82))+(L82))+(M82)</f>
        <v>10048.897500000003</v>
      </c>
    </row>
    <row r="83" spans="1:15" x14ac:dyDescent="0.3">
      <c r="A83" s="1" t="s">
        <v>90</v>
      </c>
      <c r="B83" s="3">
        <f t="shared" ref="B83:G83" si="18">281.32</f>
        <v>281.32</v>
      </c>
      <c r="C83" s="3">
        <f t="shared" si="18"/>
        <v>281.32</v>
      </c>
      <c r="D83" s="3">
        <f t="shared" si="18"/>
        <v>281.32</v>
      </c>
      <c r="E83" s="3">
        <f t="shared" si="18"/>
        <v>281.32</v>
      </c>
      <c r="F83" s="3">
        <f t="shared" si="18"/>
        <v>281.32</v>
      </c>
      <c r="G83" s="3">
        <f t="shared" si="18"/>
        <v>281.32</v>
      </c>
      <c r="H83" s="126"/>
      <c r="I83" s="126"/>
      <c r="J83" s="126"/>
      <c r="K83" s="126"/>
      <c r="L83" s="126"/>
      <c r="M83" s="126"/>
      <c r="N83" s="3">
        <f t="shared" si="17"/>
        <v>1687.9199999999998</v>
      </c>
    </row>
    <row r="84" spans="1:15" x14ac:dyDescent="0.3">
      <c r="A84" s="1" t="s">
        <v>91</v>
      </c>
      <c r="B84" s="4">
        <f t="shared" ref="B84:M84" si="19">(((((((B76)+(B77))+(B78))+(B79))+(B80))+(B81))+(B82))+(B83)</f>
        <v>7315.7399999999989</v>
      </c>
      <c r="C84" s="4">
        <f t="shared" si="19"/>
        <v>4903.07</v>
      </c>
      <c r="D84" s="4">
        <f t="shared" si="19"/>
        <v>4792.1099999999997</v>
      </c>
      <c r="E84" s="4">
        <f t="shared" si="19"/>
        <v>5056.9999999999991</v>
      </c>
      <c r="F84" s="4">
        <f t="shared" si="19"/>
        <v>4315.8399999999992</v>
      </c>
      <c r="G84" s="4">
        <f t="shared" si="19"/>
        <v>4498.4699999999993</v>
      </c>
      <c r="H84" s="4">
        <f t="shared" si="19"/>
        <v>5552.7400000000007</v>
      </c>
      <c r="I84" s="4">
        <f>(((((((I76)+(M77))+(I78))+(I79))+(I80))+(I81))+(I82))+(I83)</f>
        <v>4659.4375</v>
      </c>
      <c r="J84" s="4">
        <f t="shared" si="19"/>
        <v>4333.3274999999994</v>
      </c>
      <c r="K84" s="4">
        <f t="shared" si="19"/>
        <v>4333.3274999999994</v>
      </c>
      <c r="L84" s="4">
        <f t="shared" si="19"/>
        <v>4333.3274999999994</v>
      </c>
      <c r="M84" s="4">
        <f t="shared" si="19"/>
        <v>4333.3274999999994</v>
      </c>
      <c r="N84" s="4">
        <f t="shared" si="17"/>
        <v>58427.717499999992</v>
      </c>
    </row>
    <row r="85" spans="1:15" x14ac:dyDescent="0.3">
      <c r="A85" s="1" t="s">
        <v>92</v>
      </c>
      <c r="B85" s="4">
        <f t="shared" ref="B85:M85" si="20">((B62)+(B75))+(B84)</f>
        <v>11300.8</v>
      </c>
      <c r="C85" s="4">
        <f t="shared" si="20"/>
        <v>13489.3</v>
      </c>
      <c r="D85" s="4">
        <f t="shared" si="20"/>
        <v>7611.6799999999994</v>
      </c>
      <c r="E85" s="4">
        <f t="shared" si="20"/>
        <v>11448.989999999998</v>
      </c>
      <c r="F85" s="4">
        <f t="shared" si="20"/>
        <v>10960.849999999999</v>
      </c>
      <c r="G85" s="4">
        <f t="shared" si="20"/>
        <v>8310.1699999999983</v>
      </c>
      <c r="H85" s="4">
        <f t="shared" si="20"/>
        <v>11660.8675</v>
      </c>
      <c r="I85" s="4">
        <f t="shared" si="20"/>
        <v>13138.125</v>
      </c>
      <c r="J85" s="4">
        <f t="shared" si="20"/>
        <v>12812.014999999999</v>
      </c>
      <c r="K85" s="4">
        <f t="shared" si="20"/>
        <v>14312.014999999999</v>
      </c>
      <c r="L85" s="4">
        <f t="shared" si="20"/>
        <v>12812.014999999999</v>
      </c>
      <c r="M85" s="4">
        <f t="shared" si="20"/>
        <v>12812.014999999999</v>
      </c>
      <c r="N85" s="4">
        <f t="shared" si="17"/>
        <v>140668.8425</v>
      </c>
    </row>
    <row r="86" spans="1:15" x14ac:dyDescent="0.3">
      <c r="A86" s="1" t="s">
        <v>93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>
        <f t="shared" si="17"/>
        <v>0</v>
      </c>
    </row>
    <row r="87" spans="1:15" x14ac:dyDescent="0.3">
      <c r="A87" s="1" t="s">
        <v>94</v>
      </c>
      <c r="B87" s="3">
        <f>35925.44</f>
        <v>35925.440000000002</v>
      </c>
      <c r="C87" s="3">
        <f>34250.9</f>
        <v>34250.9</v>
      </c>
      <c r="D87" s="3">
        <f>35708.8</f>
        <v>35708.800000000003</v>
      </c>
      <c r="E87" s="3">
        <f>25010.27</f>
        <v>25010.27</v>
      </c>
      <c r="F87" s="3">
        <f>28301.02</f>
        <v>28301.02</v>
      </c>
      <c r="G87" s="3">
        <f>26814.25</f>
        <v>26814.25</v>
      </c>
      <c r="H87" s="3">
        <f>26989.52</f>
        <v>26989.52</v>
      </c>
      <c r="I87" s="2">
        <f>SUM('Example 1 _ Cash Flows'!AH51)</f>
        <v>27200</v>
      </c>
      <c r="J87" s="226">
        <f>SUM('BB Example 2 _ Cash Flows'!AH82)</f>
        <v>20000</v>
      </c>
      <c r="K87" s="226">
        <f>SUM('BB Example 2 _ Cash Flows'!AH110)</f>
        <v>20000</v>
      </c>
      <c r="L87" s="226">
        <f>SUM('BB Example 2 _ Cash Flows'!AH136)</f>
        <v>20000</v>
      </c>
      <c r="M87" s="226">
        <f>SUM('BB Example 2 _ Cash Flows'!AH164)</f>
        <v>20000</v>
      </c>
      <c r="N87" s="227">
        <f t="shared" si="17"/>
        <v>320200.19999999995</v>
      </c>
      <c r="O87" s="228" t="s">
        <v>367</v>
      </c>
    </row>
    <row r="88" spans="1:15" x14ac:dyDescent="0.3">
      <c r="A88" s="1" t="s">
        <v>95</v>
      </c>
      <c r="B88" s="3">
        <f>138</f>
        <v>138</v>
      </c>
      <c r="C88" s="3">
        <f>538.46</f>
        <v>538.46</v>
      </c>
      <c r="D88" s="3">
        <f>4081.2</f>
        <v>4081.2</v>
      </c>
      <c r="E88" s="3">
        <f>3500</f>
        <v>3500</v>
      </c>
      <c r="F88" s="3">
        <f>0</f>
        <v>0</v>
      </c>
      <c r="G88" s="3">
        <f>830.77</f>
        <v>830.77</v>
      </c>
      <c r="H88" s="2">
        <f>SUM(I88)</f>
        <v>2000</v>
      </c>
      <c r="I88" s="2">
        <f>SUM('Example 1 _ Cash Flows'!AI51)</f>
        <v>2000</v>
      </c>
      <c r="J88" s="226">
        <f>'BB Example 2 _ Cash Flows'!AI82</f>
        <v>1500</v>
      </c>
      <c r="K88" s="226">
        <f>'BB Example 2 _ Cash Flows'!AI110</f>
        <v>1500</v>
      </c>
      <c r="L88" s="226">
        <f>'BB Example 2 _ Cash Flows'!AI136</f>
        <v>1500</v>
      </c>
      <c r="M88" s="226">
        <f>'BB Example 2 _ Cash Flows'!AI164</f>
        <v>1500</v>
      </c>
      <c r="N88" s="227">
        <f t="shared" si="17"/>
        <v>19088.43</v>
      </c>
      <c r="O88" s="228" t="s">
        <v>367</v>
      </c>
    </row>
    <row r="89" spans="1:15" x14ac:dyDescent="0.3">
      <c r="A89" s="1" t="s">
        <v>96</v>
      </c>
      <c r="B89" s="3">
        <f>2979.87</f>
        <v>2979.87</v>
      </c>
      <c r="C89" s="3">
        <f>3003.23</f>
        <v>3003.23</v>
      </c>
      <c r="D89" s="3">
        <f>3102.92</f>
        <v>3102.92</v>
      </c>
      <c r="E89" s="3">
        <f>2247.14</f>
        <v>2247.14</v>
      </c>
      <c r="F89" s="3">
        <f>2295.92</f>
        <v>2295.92</v>
      </c>
      <c r="G89" s="3">
        <f>2114.85</f>
        <v>2114.85</v>
      </c>
      <c r="H89" s="3">
        <f>3578.4</f>
        <v>3578.4</v>
      </c>
      <c r="I89" s="2">
        <f>SUM('Example 1 _ Cash Flows'!AJ51)</f>
        <v>4000</v>
      </c>
      <c r="J89" s="226">
        <f>'BB Example 2 _ Cash Flows'!AJ82</f>
        <v>3000</v>
      </c>
      <c r="K89" s="226">
        <f>'BB Example 2 _ Cash Flows'!AJ110</f>
        <v>3000</v>
      </c>
      <c r="L89" s="226">
        <f>'BB Example 2 _ Cash Flows'!AJ136</f>
        <v>3000</v>
      </c>
      <c r="M89" s="226">
        <f>'BB Example 2 _ Cash Flows'!AJ164</f>
        <v>3000</v>
      </c>
      <c r="N89" s="227">
        <f t="shared" si="17"/>
        <v>35322.33</v>
      </c>
      <c r="O89" s="228" t="s">
        <v>367</v>
      </c>
    </row>
    <row r="90" spans="1:15" x14ac:dyDescent="0.3">
      <c r="A90" s="1" t="s">
        <v>97</v>
      </c>
      <c r="B90" s="3">
        <f>53</f>
        <v>53</v>
      </c>
      <c r="C90" s="3">
        <f>53</f>
        <v>53</v>
      </c>
      <c r="D90" s="3">
        <f>53</f>
        <v>53</v>
      </c>
      <c r="E90" s="3">
        <f>51</f>
        <v>51</v>
      </c>
      <c r="F90" s="3">
        <f>51</f>
        <v>51</v>
      </c>
      <c r="G90" s="3">
        <f>51</f>
        <v>51</v>
      </c>
      <c r="H90" s="2">
        <v>51</v>
      </c>
      <c r="I90" s="2">
        <f>'Example 1 _ Cash Flows'!AR51</f>
        <v>63.75</v>
      </c>
      <c r="J90" s="2">
        <f>'Example 1 _ Cash Flows'!AR83</f>
        <v>63.75</v>
      </c>
      <c r="K90" s="2">
        <f>'Example 1 _ Cash Flows'!AR112</f>
        <v>63.75</v>
      </c>
      <c r="L90" s="2">
        <f>'Example 1 _ Cash Flows'!AR138</f>
        <v>63.75</v>
      </c>
      <c r="M90" s="2">
        <f>'Example 1 _ Cash Flows'!AR166</f>
        <v>63.75</v>
      </c>
      <c r="N90" s="3">
        <f t="shared" si="17"/>
        <v>681.75</v>
      </c>
    </row>
    <row r="91" spans="1:15" x14ac:dyDescent="0.3">
      <c r="A91" s="1" t="s">
        <v>98</v>
      </c>
      <c r="B91" s="3">
        <f>2704</f>
        <v>2704</v>
      </c>
      <c r="C91" s="2"/>
      <c r="D91" s="2"/>
      <c r="E91" s="3">
        <f>-532</f>
        <v>-532</v>
      </c>
      <c r="F91" s="2"/>
      <c r="G91" s="2"/>
      <c r="H91" s="126"/>
      <c r="I91" s="126"/>
      <c r="J91" s="126"/>
      <c r="K91" s="126"/>
      <c r="L91" s="126"/>
      <c r="M91" s="126"/>
      <c r="N91" s="3">
        <f t="shared" si="17"/>
        <v>2172</v>
      </c>
    </row>
    <row r="92" spans="1:15" x14ac:dyDescent="0.3">
      <c r="A92" s="1" t="s">
        <v>99</v>
      </c>
      <c r="B92" s="3">
        <f>2700</f>
        <v>2700</v>
      </c>
      <c r="C92" s="3">
        <f>2700</f>
        <v>2700</v>
      </c>
      <c r="D92" s="3">
        <f>2950</f>
        <v>2950</v>
      </c>
      <c r="E92" s="3">
        <f>2450</f>
        <v>2450</v>
      </c>
      <c r="F92" s="3">
        <f>2700</f>
        <v>2700</v>
      </c>
      <c r="G92" s="3">
        <f>2700</f>
        <v>2700</v>
      </c>
      <c r="H92" s="3">
        <f>2700</f>
        <v>2700</v>
      </c>
      <c r="I92" s="2">
        <f>SUM('Example 1 _ Cash Flows'!AG51)</f>
        <v>2750</v>
      </c>
      <c r="J92" s="226">
        <f>'BB Example 2 _ Cash Flows'!AG82</f>
        <v>2020</v>
      </c>
      <c r="K92" s="226">
        <f>'BB Example 2 _ Cash Flows'!AG110</f>
        <v>2020</v>
      </c>
      <c r="L92" s="226">
        <f>'BB Example 2 _ Cash Flows'!AG136</f>
        <v>2020</v>
      </c>
      <c r="M92" s="226">
        <f>'BB Example 2 _ Cash Flows'!AG164</f>
        <v>2020</v>
      </c>
      <c r="N92" s="227">
        <f t="shared" si="17"/>
        <v>29730</v>
      </c>
      <c r="O92" s="228" t="s">
        <v>367</v>
      </c>
    </row>
    <row r="93" spans="1:15" x14ac:dyDescent="0.3">
      <c r="A93" s="1" t="s">
        <v>100</v>
      </c>
      <c r="B93" s="2"/>
      <c r="C93" s="2"/>
      <c r="D93" s="2"/>
      <c r="E93" s="2"/>
      <c r="F93" s="3">
        <f>58.79</f>
        <v>58.79</v>
      </c>
      <c r="G93" s="2"/>
      <c r="H93" s="126"/>
      <c r="I93" s="126"/>
      <c r="J93" s="126"/>
      <c r="K93" s="126"/>
      <c r="L93" s="126"/>
      <c r="M93" s="126"/>
      <c r="N93" s="3">
        <f t="shared" si="17"/>
        <v>58.79</v>
      </c>
    </row>
    <row r="94" spans="1:15" x14ac:dyDescent="0.3">
      <c r="A94" s="1" t="s">
        <v>101</v>
      </c>
      <c r="B94" s="3">
        <f>200</f>
        <v>200</v>
      </c>
      <c r="C94" s="3">
        <f>200</f>
        <v>200</v>
      </c>
      <c r="D94" s="3">
        <f>200</f>
        <v>200</v>
      </c>
      <c r="E94" s="3">
        <f>200</f>
        <v>200</v>
      </c>
      <c r="F94" s="3">
        <f>200</f>
        <v>200</v>
      </c>
      <c r="G94" s="3">
        <f>462.5</f>
        <v>462.5</v>
      </c>
      <c r="H94" s="3">
        <f>200</f>
        <v>200</v>
      </c>
      <c r="I94" s="3">
        <f>200+'Example 1 _ Cash Flows'!AK51</f>
        <v>450</v>
      </c>
      <c r="J94" s="3">
        <f>200+'Example 1 _ Cash Flows'!AK83</f>
        <v>450</v>
      </c>
      <c r="K94" s="3">
        <f>200+'Example 1 _ Cash Flows'!AK112</f>
        <v>450</v>
      </c>
      <c r="L94" s="3">
        <f>200+'Example 1 _ Cash Flows'!AK138</f>
        <v>450</v>
      </c>
      <c r="M94" s="3">
        <f>200+'Example 1 _ Cash Flows'!AK166</f>
        <v>450</v>
      </c>
      <c r="N94" s="3">
        <f t="shared" si="17"/>
        <v>3912.5</v>
      </c>
    </row>
    <row r="95" spans="1:15" x14ac:dyDescent="0.3">
      <c r="A95" s="1" t="s">
        <v>102</v>
      </c>
      <c r="B95" s="3">
        <f>163.92</f>
        <v>163.92</v>
      </c>
      <c r="C95" s="2"/>
      <c r="D95" s="2"/>
      <c r="E95" s="2"/>
      <c r="F95" s="3">
        <f>166.24</f>
        <v>166.24</v>
      </c>
      <c r="G95" s="3">
        <f>50</f>
        <v>50</v>
      </c>
      <c r="H95" s="126"/>
      <c r="I95" s="126"/>
      <c r="J95" s="126"/>
      <c r="K95" s="126"/>
      <c r="L95" s="126"/>
      <c r="M95" s="126"/>
      <c r="N95" s="3">
        <f t="shared" si="17"/>
        <v>380.15999999999997</v>
      </c>
    </row>
    <row r="96" spans="1:15" x14ac:dyDescent="0.3">
      <c r="A96" s="1" t="s">
        <v>103</v>
      </c>
      <c r="B96" s="4">
        <f t="shared" ref="B96:M96" si="21">(((((((((B86)+(B87))+(B88))+(B89))+(B90))+(B91))+(B92))+(B93))+(B94))+(B95)</f>
        <v>44864.23</v>
      </c>
      <c r="C96" s="4">
        <f t="shared" si="21"/>
        <v>40745.590000000004</v>
      </c>
      <c r="D96" s="4">
        <f t="shared" si="21"/>
        <v>46095.92</v>
      </c>
      <c r="E96" s="4">
        <f t="shared" si="21"/>
        <v>32926.410000000003</v>
      </c>
      <c r="F96" s="4">
        <f t="shared" si="21"/>
        <v>33772.97</v>
      </c>
      <c r="G96" s="4">
        <f t="shared" si="21"/>
        <v>33023.369999999995</v>
      </c>
      <c r="H96" s="4">
        <f t="shared" si="21"/>
        <v>35518.92</v>
      </c>
      <c r="I96" s="4">
        <f t="shared" si="21"/>
        <v>36463.75</v>
      </c>
      <c r="J96" s="4">
        <f t="shared" si="21"/>
        <v>27033.75</v>
      </c>
      <c r="K96" s="4">
        <f t="shared" si="21"/>
        <v>27033.75</v>
      </c>
      <c r="L96" s="4">
        <f t="shared" si="21"/>
        <v>27033.75</v>
      </c>
      <c r="M96" s="4">
        <f t="shared" si="21"/>
        <v>27033.75</v>
      </c>
      <c r="N96" s="4">
        <f t="shared" si="17"/>
        <v>411546.16</v>
      </c>
    </row>
    <row r="97" spans="1:15" x14ac:dyDescent="0.3">
      <c r="A97" s="1" t="s">
        <v>104</v>
      </c>
      <c r="B97" s="4">
        <f t="shared" ref="B97:M97" si="22">(((B48)+(B61))+(B85))+(B96)</f>
        <v>102407.95000000001</v>
      </c>
      <c r="C97" s="4">
        <f t="shared" si="22"/>
        <v>189358.77</v>
      </c>
      <c r="D97" s="4">
        <f t="shared" si="22"/>
        <v>153845.65999999997</v>
      </c>
      <c r="E97" s="4">
        <f t="shared" si="22"/>
        <v>130791.37</v>
      </c>
      <c r="F97" s="4">
        <f t="shared" si="22"/>
        <v>123618.35</v>
      </c>
      <c r="G97" s="4">
        <f t="shared" si="22"/>
        <v>83165.45</v>
      </c>
      <c r="H97" s="4">
        <f t="shared" si="22"/>
        <v>86988.987499999988</v>
      </c>
      <c r="I97" s="4">
        <f t="shared" si="22"/>
        <v>95342.662500000006</v>
      </c>
      <c r="J97" s="4">
        <f t="shared" si="22"/>
        <v>153254.9025</v>
      </c>
      <c r="K97" s="4">
        <f t="shared" si="22"/>
        <v>72577.302499999991</v>
      </c>
      <c r="L97" s="4">
        <f t="shared" si="22"/>
        <v>71077.302499999991</v>
      </c>
      <c r="M97" s="4">
        <f t="shared" si="22"/>
        <v>71077.202499999999</v>
      </c>
      <c r="N97" s="4">
        <f t="shared" si="17"/>
        <v>1333505.9099999997</v>
      </c>
    </row>
    <row r="98" spans="1:15" x14ac:dyDescent="0.3">
      <c r="A98" s="1" t="s">
        <v>105</v>
      </c>
      <c r="B98" s="4">
        <f t="shared" ref="B98:M98" si="23">(B16)-(B97)</f>
        <v>16796.039999999994</v>
      </c>
      <c r="C98" s="4">
        <f t="shared" si="23"/>
        <v>-68812.349999999991</v>
      </c>
      <c r="D98" s="4">
        <f t="shared" si="23"/>
        <v>-34156.209999999977</v>
      </c>
      <c r="E98" s="4">
        <f t="shared" si="23"/>
        <v>54571.19</v>
      </c>
      <c r="F98" s="4">
        <f t="shared" si="23"/>
        <v>-3580.7300000000105</v>
      </c>
      <c r="G98" s="4">
        <f t="shared" si="23"/>
        <v>36035.460000000006</v>
      </c>
      <c r="H98" s="4">
        <f t="shared" si="23"/>
        <v>32183.232500000013</v>
      </c>
      <c r="I98" s="4">
        <f t="shared" si="23"/>
        <v>23829.557499999995</v>
      </c>
      <c r="J98" s="4">
        <f t="shared" si="23"/>
        <v>-34082.682499999995</v>
      </c>
      <c r="K98" s="4">
        <f t="shared" si="23"/>
        <v>46594.91750000001</v>
      </c>
      <c r="L98" s="4">
        <f t="shared" si="23"/>
        <v>48094.91750000001</v>
      </c>
      <c r="M98" s="4">
        <f t="shared" si="23"/>
        <v>48095.017500000002</v>
      </c>
      <c r="N98" s="4">
        <f t="shared" si="17"/>
        <v>165568.36000000004</v>
      </c>
    </row>
    <row r="99" spans="1:15" x14ac:dyDescent="0.3">
      <c r="A99" s="1" t="s">
        <v>106</v>
      </c>
      <c r="B99" s="5">
        <f t="shared" ref="B99:M99" si="24">(B98)+(0)</f>
        <v>16796.039999999994</v>
      </c>
      <c r="C99" s="5">
        <f t="shared" si="24"/>
        <v>-68812.349999999991</v>
      </c>
      <c r="D99" s="5">
        <f t="shared" si="24"/>
        <v>-34156.209999999977</v>
      </c>
      <c r="E99" s="5">
        <f t="shared" si="24"/>
        <v>54571.19</v>
      </c>
      <c r="F99" s="5">
        <f t="shared" si="24"/>
        <v>-3580.7300000000105</v>
      </c>
      <c r="G99" s="5">
        <f t="shared" si="24"/>
        <v>36035.460000000006</v>
      </c>
      <c r="H99" s="5">
        <f t="shared" si="24"/>
        <v>32183.232500000013</v>
      </c>
      <c r="I99" s="5">
        <f t="shared" si="24"/>
        <v>23829.557499999995</v>
      </c>
      <c r="J99" s="5">
        <f t="shared" si="24"/>
        <v>-34082.682499999995</v>
      </c>
      <c r="K99" s="5">
        <f t="shared" si="24"/>
        <v>46594.91750000001</v>
      </c>
      <c r="L99" s="5">
        <f t="shared" si="24"/>
        <v>48094.91750000001</v>
      </c>
      <c r="M99" s="5">
        <f t="shared" si="24"/>
        <v>48095.017500000002</v>
      </c>
      <c r="N99" s="5">
        <f t="shared" si="17"/>
        <v>165568.36000000004</v>
      </c>
    </row>
    <row r="100" spans="1:15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5" x14ac:dyDescent="0.3">
      <c r="A101" s="221"/>
      <c r="B101" s="222" t="s">
        <v>0</v>
      </c>
      <c r="C101" s="222" t="s">
        <v>1</v>
      </c>
      <c r="D101" s="222" t="s">
        <v>2</v>
      </c>
      <c r="E101" s="222" t="s">
        <v>3</v>
      </c>
      <c r="F101" s="222" t="s">
        <v>4</v>
      </c>
      <c r="G101" s="222" t="s">
        <v>5</v>
      </c>
      <c r="H101" s="222" t="s">
        <v>6</v>
      </c>
      <c r="I101" s="222" t="s">
        <v>7</v>
      </c>
      <c r="J101" s="222" t="s">
        <v>8</v>
      </c>
      <c r="K101" s="222" t="s">
        <v>9</v>
      </c>
      <c r="L101" s="222" t="s">
        <v>10</v>
      </c>
      <c r="M101" s="222" t="s">
        <v>11</v>
      </c>
      <c r="N101" s="222" t="s">
        <v>12</v>
      </c>
      <c r="O101" s="223" t="s">
        <v>349</v>
      </c>
    </row>
    <row r="103" spans="1:15" x14ac:dyDescent="0.3">
      <c r="A103" s="581" t="s">
        <v>107</v>
      </c>
      <c r="B103" s="582"/>
      <c r="C103" s="582"/>
      <c r="D103" s="582"/>
      <c r="E103" s="582"/>
      <c r="F103" s="582"/>
      <c r="G103" s="582"/>
      <c r="H103" s="582"/>
      <c r="I103" s="582"/>
      <c r="J103" s="582"/>
      <c r="K103" s="582"/>
      <c r="L103" s="582"/>
      <c r="M103" s="582"/>
      <c r="N103" s="582"/>
    </row>
  </sheetData>
  <mergeCells count="4">
    <mergeCell ref="A103:N103"/>
    <mergeCell ref="A3:O3"/>
    <mergeCell ref="A2:O2"/>
    <mergeCell ref="A1:O1"/>
  </mergeCells>
  <printOptions horizontalCentered="1" verticalCentered="1"/>
  <pageMargins left="0.25" right="0.25" top="0.25" bottom="0.25" header="0" footer="0"/>
  <pageSetup scale="6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C26AC-2A2A-4C2B-847D-1622644A321B}">
  <sheetPr codeName="Sheet3">
    <pageSetUpPr fitToPage="1"/>
  </sheetPr>
  <dimension ref="A1:BA193"/>
  <sheetViews>
    <sheetView zoomScaleNormal="100" workbookViewId="0">
      <pane ySplit="4" topLeftCell="A141" activePane="bottomLeft" state="frozen"/>
      <selection activeCell="I3" sqref="I3"/>
      <selection pane="bottomLeft" activeCell="Y57" sqref="Y57"/>
    </sheetView>
  </sheetViews>
  <sheetFormatPr defaultColWidth="9.109375" defaultRowHeight="14.4" x14ac:dyDescent="0.3"/>
  <cols>
    <col min="1" max="1" width="2.44140625" style="8" bestFit="1" customWidth="1"/>
    <col min="2" max="2" width="23" style="7" customWidth="1"/>
    <col min="3" max="3" width="9.5546875" style="7" bestFit="1" customWidth="1"/>
    <col min="4" max="4" width="10.6640625" style="7" bestFit="1" customWidth="1"/>
    <col min="5" max="5" width="31" style="7" customWidth="1"/>
    <col min="6" max="6" width="14.109375" style="7" customWidth="1"/>
    <col min="7" max="7" width="13.88671875" style="84" hidden="1" customWidth="1"/>
    <col min="8" max="8" width="11.6640625" style="84" hidden="1" customWidth="1"/>
    <col min="9" max="9" width="9.5546875" style="84" hidden="1" customWidth="1"/>
    <col min="10" max="10" width="7.88671875" style="84" hidden="1" customWidth="1"/>
    <col min="11" max="11" width="9" style="7" hidden="1" customWidth="1"/>
    <col min="12" max="12" width="4.44140625" style="38" hidden="1" customWidth="1"/>
    <col min="13" max="13" width="9.88671875" style="7" hidden="1" customWidth="1"/>
    <col min="14" max="14" width="4.44140625" style="7" hidden="1" customWidth="1"/>
    <col min="15" max="15" width="9" style="7" hidden="1" customWidth="1"/>
    <col min="16" max="16" width="4.44140625" style="7" hidden="1" customWidth="1"/>
    <col min="17" max="17" width="9" style="7" hidden="1" customWidth="1"/>
    <col min="18" max="18" width="4.44140625" style="7" hidden="1" customWidth="1"/>
    <col min="19" max="19" width="7.6640625" style="7" hidden="1" customWidth="1"/>
    <col min="20" max="20" width="9.88671875" style="7" hidden="1" customWidth="1"/>
    <col min="21" max="21" width="9.44140625" style="121" customWidth="1"/>
    <col min="22" max="22" width="9.44140625" style="62" customWidth="1"/>
    <col min="23" max="23" width="9.6640625" style="7" bestFit="1" customWidth="1"/>
    <col min="24" max="24" width="8.6640625" style="7" bestFit="1" customWidth="1"/>
    <col min="25" max="25" width="8" style="7" bestFit="1" customWidth="1"/>
    <col min="26" max="26" width="8.6640625" style="7" bestFit="1" customWidth="1"/>
    <col min="27" max="27" width="9.6640625" style="7" bestFit="1" customWidth="1"/>
    <col min="28" max="29" width="8.88671875" style="7" bestFit="1" customWidth="1"/>
    <col min="30" max="31" width="9.109375" style="7" bestFit="1" customWidth="1"/>
    <col min="32" max="32" width="6.6640625" style="7" bestFit="1" customWidth="1"/>
    <col min="33" max="33" width="9.109375" style="7" bestFit="1" customWidth="1"/>
    <col min="34" max="34" width="10" style="7" bestFit="1" customWidth="1"/>
    <col min="35" max="36" width="9.109375" style="7" bestFit="1" customWidth="1"/>
    <col min="37" max="41" width="8" style="7" bestFit="1" customWidth="1"/>
    <col min="42" max="42" width="8" style="7" customWidth="1"/>
    <col min="43" max="43" width="8" style="7" bestFit="1" customWidth="1"/>
    <col min="44" max="46" width="9.33203125" style="7" bestFit="1" customWidth="1"/>
    <col min="47" max="47" width="10.109375" style="7" bestFit="1" customWidth="1"/>
    <col min="48" max="50" width="10.109375" style="7" customWidth="1"/>
    <col min="51" max="51" width="9.33203125" style="62" bestFit="1" customWidth="1"/>
    <col min="52" max="52" width="10" style="121" bestFit="1" customWidth="1"/>
    <col min="53" max="53" width="11.109375" style="97" bestFit="1" customWidth="1"/>
    <col min="54" max="16384" width="9.109375" style="97"/>
  </cols>
  <sheetData>
    <row r="1" spans="1:52" s="295" customFormat="1" ht="15.75" customHeight="1" x14ac:dyDescent="0.3">
      <c r="A1" s="590" t="s">
        <v>108</v>
      </c>
      <c r="B1" s="590"/>
      <c r="C1" s="590"/>
      <c r="D1" s="590"/>
      <c r="E1" s="590"/>
      <c r="F1" s="590"/>
      <c r="G1" s="590"/>
      <c r="H1" s="288"/>
      <c r="I1" s="289"/>
      <c r="J1" s="289"/>
      <c r="K1" s="290"/>
      <c r="L1" s="291"/>
      <c r="M1" s="278"/>
      <c r="N1" s="278"/>
      <c r="O1" s="278"/>
      <c r="P1" s="278"/>
      <c r="Q1" s="278"/>
      <c r="R1" s="278"/>
      <c r="S1" s="278"/>
      <c r="T1" s="278"/>
      <c r="U1" s="292"/>
      <c r="V1" s="293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94"/>
      <c r="AR1" s="294"/>
      <c r="AS1" s="278"/>
      <c r="AT1" s="278"/>
      <c r="AU1" s="278"/>
      <c r="AV1" s="278"/>
      <c r="AW1" s="278"/>
      <c r="AX1" s="278"/>
      <c r="AY1" s="293"/>
      <c r="AZ1" s="292"/>
    </row>
    <row r="2" spans="1:52" s="295" customFormat="1" ht="15.75" customHeight="1" x14ac:dyDescent="0.3">
      <c r="A2" s="590" t="s">
        <v>373</v>
      </c>
      <c r="B2" s="590"/>
      <c r="C2" s="590"/>
      <c r="D2" s="590"/>
      <c r="E2" s="590"/>
      <c r="F2" s="590"/>
      <c r="G2" s="590"/>
      <c r="H2" s="288"/>
      <c r="I2" s="289"/>
      <c r="J2" s="289"/>
      <c r="K2" s="290"/>
      <c r="L2" s="291"/>
      <c r="M2" s="278"/>
      <c r="N2" s="278"/>
      <c r="O2" s="278"/>
      <c r="P2" s="278"/>
      <c r="Q2" s="278"/>
      <c r="R2" s="278"/>
      <c r="S2" s="278"/>
      <c r="T2" s="278"/>
      <c r="U2" s="292"/>
      <c r="V2" s="296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94"/>
      <c r="AR2" s="294"/>
      <c r="AS2" s="278"/>
      <c r="AT2" s="278"/>
      <c r="AU2" s="278"/>
      <c r="AV2" s="278"/>
      <c r="AW2" s="278"/>
      <c r="AX2" s="278"/>
      <c r="AY2" s="293"/>
      <c r="AZ2" s="292"/>
    </row>
    <row r="3" spans="1:52" s="295" customFormat="1" ht="15.75" customHeight="1" x14ac:dyDescent="0.3">
      <c r="A3" s="588" t="s">
        <v>379</v>
      </c>
      <c r="B3" s="588"/>
      <c r="C3" s="588"/>
      <c r="D3" s="588"/>
      <c r="E3" s="588"/>
      <c r="F3" s="588"/>
      <c r="G3" s="297"/>
      <c r="H3" s="288"/>
      <c r="I3" s="289"/>
      <c r="J3" s="289"/>
      <c r="K3" s="290"/>
      <c r="L3" s="291"/>
      <c r="M3" s="278"/>
      <c r="N3" s="278"/>
      <c r="O3" s="278"/>
      <c r="P3" s="278"/>
      <c r="Q3" s="278"/>
      <c r="R3" s="278"/>
      <c r="S3" s="278"/>
      <c r="T3" s="278"/>
      <c r="U3" s="292"/>
      <c r="V3" s="296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94"/>
      <c r="AR3" s="294"/>
      <c r="AS3" s="278"/>
      <c r="AT3" s="278"/>
      <c r="AU3" s="278"/>
      <c r="AV3" s="278"/>
      <c r="AW3" s="278"/>
      <c r="AX3" s="278"/>
      <c r="AY3" s="293"/>
      <c r="AZ3" s="292"/>
    </row>
    <row r="4" spans="1:52" s="300" customFormat="1" ht="15.75" customHeight="1" thickBot="1" x14ac:dyDescent="0.35">
      <c r="A4" s="36" t="s">
        <v>261</v>
      </c>
      <c r="B4" s="36" t="s">
        <v>205</v>
      </c>
      <c r="C4" s="35" t="s">
        <v>130</v>
      </c>
      <c r="D4" s="66" t="s">
        <v>12</v>
      </c>
      <c r="E4" s="35" t="s">
        <v>204</v>
      </c>
      <c r="F4" s="235">
        <v>79801.72</v>
      </c>
      <c r="G4" s="591"/>
      <c r="H4" s="591"/>
      <c r="I4" s="591"/>
      <c r="J4" s="591"/>
      <c r="K4" s="278"/>
      <c r="L4" s="298"/>
      <c r="M4" s="278"/>
      <c r="N4" s="278"/>
      <c r="O4" s="278"/>
      <c r="P4" s="278"/>
      <c r="Q4" s="278"/>
      <c r="R4" s="278"/>
      <c r="S4" s="278"/>
      <c r="T4" s="278"/>
      <c r="U4" s="299">
        <v>7850</v>
      </c>
      <c r="V4" s="125">
        <v>7910</v>
      </c>
      <c r="W4" s="125">
        <v>7950</v>
      </c>
      <c r="X4" s="125">
        <v>6730</v>
      </c>
      <c r="Y4" s="125">
        <v>7100</v>
      </c>
      <c r="Z4" s="125">
        <v>5710</v>
      </c>
      <c r="AA4" s="125">
        <v>5130</v>
      </c>
      <c r="AB4" s="125">
        <v>5510</v>
      </c>
      <c r="AC4" s="125">
        <v>7650</v>
      </c>
      <c r="AD4" s="125">
        <v>5750</v>
      </c>
      <c r="AE4" s="125">
        <v>5520</v>
      </c>
      <c r="AF4" s="125">
        <v>7090</v>
      </c>
      <c r="AG4" s="125">
        <v>8570</v>
      </c>
      <c r="AH4" s="125">
        <v>8510</v>
      </c>
      <c r="AI4" s="125">
        <v>8520</v>
      </c>
      <c r="AJ4" s="125">
        <v>8530</v>
      </c>
      <c r="AK4" s="125">
        <v>8590</v>
      </c>
      <c r="AL4" s="125">
        <v>5170</v>
      </c>
      <c r="AM4" s="125">
        <v>6770</v>
      </c>
      <c r="AN4" s="125">
        <v>5540</v>
      </c>
      <c r="AO4" s="125">
        <v>6590</v>
      </c>
      <c r="AP4" s="125">
        <v>6510</v>
      </c>
      <c r="AQ4" s="125">
        <v>5780</v>
      </c>
      <c r="AR4" s="125">
        <v>8540</v>
      </c>
      <c r="AS4" s="125">
        <v>6720</v>
      </c>
      <c r="AT4" s="125">
        <v>5880</v>
      </c>
      <c r="AU4" s="125">
        <v>6550</v>
      </c>
      <c r="AV4" s="125">
        <v>7010</v>
      </c>
      <c r="AW4" s="125">
        <v>5840</v>
      </c>
      <c r="AX4" s="125">
        <v>9999</v>
      </c>
      <c r="AY4" s="125">
        <v>7280</v>
      </c>
      <c r="AZ4" s="299" t="s">
        <v>269</v>
      </c>
    </row>
    <row r="5" spans="1:52" s="300" customFormat="1" ht="15.75" customHeight="1" x14ac:dyDescent="0.3">
      <c r="A5" s="290">
        <v>1</v>
      </c>
      <c r="B5" s="236" t="s">
        <v>153</v>
      </c>
      <c r="C5" s="237">
        <v>100</v>
      </c>
      <c r="D5" s="238">
        <f t="shared" ref="D5:D30" si="0">SUM(C5*-1)</f>
        <v>-100</v>
      </c>
      <c r="E5" s="239">
        <v>43855</v>
      </c>
      <c r="F5" s="240">
        <f t="shared" ref="F5:F69" si="1">SUM(F4+D5)</f>
        <v>79701.72</v>
      </c>
      <c r="G5" s="301"/>
      <c r="H5" s="302">
        <v>7850</v>
      </c>
      <c r="I5" s="303">
        <f>C5</f>
        <v>100</v>
      </c>
      <c r="J5" s="302"/>
      <c r="K5" s="298"/>
      <c r="L5" s="278"/>
      <c r="M5" s="278"/>
      <c r="N5" s="278"/>
      <c r="O5" s="278"/>
      <c r="P5" s="278"/>
      <c r="Q5" s="278"/>
      <c r="R5" s="278"/>
      <c r="S5" s="278"/>
      <c r="T5" s="278"/>
      <c r="U5" s="304">
        <f>SUM(I5)</f>
        <v>100</v>
      </c>
      <c r="V5" s="305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78"/>
      <c r="AU5" s="278"/>
      <c r="AV5" s="278"/>
      <c r="AW5" s="278"/>
      <c r="AX5" s="278"/>
      <c r="AY5" s="293"/>
      <c r="AZ5" s="304">
        <f t="shared" ref="AZ5:AZ15" si="2">SUM(U5:AY5)-C5</f>
        <v>0</v>
      </c>
    </row>
    <row r="6" spans="1:52" s="300" customFormat="1" ht="15.75" customHeight="1" x14ac:dyDescent="0.3">
      <c r="A6" s="290">
        <v>1</v>
      </c>
      <c r="B6" s="241" t="s">
        <v>150</v>
      </c>
      <c r="C6" s="242">
        <v>458.65</v>
      </c>
      <c r="D6" s="238">
        <f t="shared" si="0"/>
        <v>-458.65</v>
      </c>
      <c r="E6" s="243" t="s">
        <v>203</v>
      </c>
      <c r="F6" s="240">
        <f t="shared" si="1"/>
        <v>79243.070000000007</v>
      </c>
      <c r="G6" s="306"/>
      <c r="H6" s="302">
        <v>7910</v>
      </c>
      <c r="I6" s="303">
        <f>C6</f>
        <v>458.65</v>
      </c>
      <c r="J6" s="302"/>
      <c r="K6" s="298"/>
      <c r="L6" s="278"/>
      <c r="M6" s="278"/>
      <c r="N6" s="278"/>
      <c r="O6" s="278"/>
      <c r="P6" s="278"/>
      <c r="Q6" s="278"/>
      <c r="R6" s="278"/>
      <c r="S6" s="278"/>
      <c r="T6" s="278"/>
      <c r="U6" s="304"/>
      <c r="V6" s="305">
        <f>SUM(I6)</f>
        <v>458.65</v>
      </c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78"/>
      <c r="AU6" s="278"/>
      <c r="AV6" s="278"/>
      <c r="AW6" s="278"/>
      <c r="AX6" s="278"/>
      <c r="AY6" s="293"/>
      <c r="AZ6" s="304">
        <f t="shared" si="2"/>
        <v>0</v>
      </c>
    </row>
    <row r="7" spans="1:52" s="300" customFormat="1" ht="15.75" customHeight="1" x14ac:dyDescent="0.3">
      <c r="A7" s="290">
        <v>1</v>
      </c>
      <c r="B7" s="241" t="s">
        <v>191</v>
      </c>
      <c r="C7" s="242">
        <v>81.95</v>
      </c>
      <c r="D7" s="238">
        <f t="shared" si="0"/>
        <v>-81.95</v>
      </c>
      <c r="E7" s="243" t="s">
        <v>202</v>
      </c>
      <c r="F7" s="240">
        <f t="shared" si="1"/>
        <v>79161.12000000001</v>
      </c>
      <c r="G7" s="306"/>
      <c r="H7" s="302">
        <v>7950</v>
      </c>
      <c r="I7" s="303">
        <f>C7</f>
        <v>81.95</v>
      </c>
      <c r="J7" s="302"/>
      <c r="K7" s="298"/>
      <c r="L7" s="278"/>
      <c r="M7" s="278"/>
      <c r="N7" s="278"/>
      <c r="O7" s="278"/>
      <c r="P7" s="278"/>
      <c r="Q7" s="278"/>
      <c r="R7" s="278"/>
      <c r="S7" s="278"/>
      <c r="T7" s="278"/>
      <c r="U7" s="304"/>
      <c r="V7" s="305"/>
      <c r="W7" s="242">
        <f>SUM(I7)</f>
        <v>81.95</v>
      </c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78"/>
      <c r="AU7" s="278"/>
      <c r="AV7" s="278"/>
      <c r="AW7" s="278"/>
      <c r="AX7" s="278"/>
      <c r="AY7" s="293"/>
      <c r="AZ7" s="304">
        <f t="shared" si="2"/>
        <v>0</v>
      </c>
    </row>
    <row r="8" spans="1:52" s="300" customFormat="1" ht="15.75" customHeight="1" x14ac:dyDescent="0.3">
      <c r="A8" s="290">
        <v>1</v>
      </c>
      <c r="B8" s="241" t="s">
        <v>148</v>
      </c>
      <c r="C8" s="242">
        <v>386.23</v>
      </c>
      <c r="D8" s="238">
        <f t="shared" si="0"/>
        <v>-386.23</v>
      </c>
      <c r="E8" s="243" t="s">
        <v>202</v>
      </c>
      <c r="F8" s="240">
        <f t="shared" si="1"/>
        <v>78774.890000000014</v>
      </c>
      <c r="G8" s="306"/>
      <c r="H8" s="302">
        <v>7950</v>
      </c>
      <c r="I8" s="303">
        <f>C8</f>
        <v>386.23</v>
      </c>
      <c r="J8" s="302"/>
      <c r="K8" s="298"/>
      <c r="L8" s="278"/>
      <c r="M8" s="278"/>
      <c r="N8" s="278"/>
      <c r="O8" s="278"/>
      <c r="P8" s="278"/>
      <c r="Q8" s="278"/>
      <c r="R8" s="278"/>
      <c r="S8" s="278"/>
      <c r="T8" s="278"/>
      <c r="U8" s="304"/>
      <c r="V8" s="305"/>
      <c r="W8" s="242">
        <f>SUM(I8)</f>
        <v>386.23</v>
      </c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78"/>
      <c r="AU8" s="278"/>
      <c r="AV8" s="278"/>
      <c r="AW8" s="278"/>
      <c r="AX8" s="278"/>
      <c r="AY8" s="293"/>
      <c r="AZ8" s="304">
        <f t="shared" si="2"/>
        <v>0</v>
      </c>
    </row>
    <row r="9" spans="1:52" s="300" customFormat="1" ht="15.75" customHeight="1" x14ac:dyDescent="0.3">
      <c r="A9" s="290">
        <v>1</v>
      </c>
      <c r="B9" s="241" t="s">
        <v>146</v>
      </c>
      <c r="C9" s="242">
        <v>149.99</v>
      </c>
      <c r="D9" s="238">
        <f t="shared" si="0"/>
        <v>-149.99</v>
      </c>
      <c r="E9" s="243" t="s">
        <v>202</v>
      </c>
      <c r="F9" s="240">
        <f t="shared" si="1"/>
        <v>78624.900000000009</v>
      </c>
      <c r="G9" s="306"/>
      <c r="H9" s="302">
        <v>7950</v>
      </c>
      <c r="I9" s="303">
        <f>C9</f>
        <v>149.99</v>
      </c>
      <c r="J9" s="302"/>
      <c r="K9" s="298"/>
      <c r="L9" s="278"/>
      <c r="M9" s="278"/>
      <c r="N9" s="278"/>
      <c r="O9" s="278"/>
      <c r="P9" s="278"/>
      <c r="Q9" s="278"/>
      <c r="R9" s="278"/>
      <c r="S9" s="21"/>
      <c r="T9" s="278"/>
      <c r="U9" s="304"/>
      <c r="V9" s="305"/>
      <c r="W9" s="242">
        <f>SUM(I9)</f>
        <v>149.99</v>
      </c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78"/>
      <c r="AU9" s="278"/>
      <c r="AV9" s="278"/>
      <c r="AW9" s="278"/>
      <c r="AX9" s="278"/>
      <c r="AY9" s="293"/>
      <c r="AZ9" s="304">
        <f t="shared" si="2"/>
        <v>0</v>
      </c>
    </row>
    <row r="10" spans="1:52" s="300" customFormat="1" ht="15.75" customHeight="1" x14ac:dyDescent="0.3">
      <c r="A10" s="290">
        <v>1</v>
      </c>
      <c r="B10" s="241" t="s">
        <v>279</v>
      </c>
      <c r="C10" s="242">
        <f>SUM('TS 2019_2020 Est Travel'!G7)</f>
        <v>330.78</v>
      </c>
      <c r="D10" s="238">
        <f t="shared" si="0"/>
        <v>-330.78</v>
      </c>
      <c r="E10" s="243" t="s">
        <v>280</v>
      </c>
      <c r="F10" s="240">
        <f t="shared" si="1"/>
        <v>78294.12000000001</v>
      </c>
      <c r="G10" s="306"/>
      <c r="H10" s="302"/>
      <c r="I10" s="303"/>
      <c r="J10" s="302"/>
      <c r="K10" s="298"/>
      <c r="L10" s="278"/>
      <c r="M10" s="278"/>
      <c r="N10" s="278"/>
      <c r="O10" s="278"/>
      <c r="P10" s="278"/>
      <c r="Q10" s="278"/>
      <c r="R10" s="278"/>
      <c r="S10" s="21"/>
      <c r="T10" s="278"/>
      <c r="U10" s="304"/>
      <c r="V10" s="305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>
        <f>SUM(C10)</f>
        <v>330.78</v>
      </c>
      <c r="AP10" s="242"/>
      <c r="AQ10" s="242"/>
      <c r="AR10" s="242"/>
      <c r="AS10" s="242"/>
      <c r="AT10" s="278"/>
      <c r="AU10" s="278"/>
      <c r="AV10" s="278"/>
      <c r="AW10" s="278"/>
      <c r="AX10" s="278"/>
      <c r="AY10" s="293"/>
      <c r="AZ10" s="304">
        <f t="shared" si="2"/>
        <v>0</v>
      </c>
    </row>
    <row r="11" spans="1:52" s="300" customFormat="1" ht="15.75" customHeight="1" x14ac:dyDescent="0.3">
      <c r="A11" s="290">
        <v>1</v>
      </c>
      <c r="B11" s="241" t="s">
        <v>144</v>
      </c>
      <c r="C11" s="242">
        <v>300</v>
      </c>
      <c r="D11" s="238">
        <f t="shared" si="0"/>
        <v>-300</v>
      </c>
      <c r="E11" s="243" t="s">
        <v>200</v>
      </c>
      <c r="F11" s="240">
        <f t="shared" si="1"/>
        <v>77994.12000000001</v>
      </c>
      <c r="G11" s="306"/>
      <c r="H11" s="302">
        <v>6730</v>
      </c>
      <c r="I11" s="303">
        <f>C11</f>
        <v>300</v>
      </c>
      <c r="J11" s="302"/>
      <c r="K11" s="298"/>
      <c r="L11" s="278"/>
      <c r="M11" s="278"/>
      <c r="N11" s="278"/>
      <c r="O11" s="278"/>
      <c r="P11" s="278"/>
      <c r="Q11" s="278"/>
      <c r="R11" s="278"/>
      <c r="S11" s="278"/>
      <c r="T11" s="278"/>
      <c r="U11" s="304"/>
      <c r="V11" s="305"/>
      <c r="W11" s="242">
        <f>SUM(I11)</f>
        <v>300</v>
      </c>
      <c r="X11" s="278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78"/>
      <c r="AU11" s="278"/>
      <c r="AV11" s="278"/>
      <c r="AW11" s="278"/>
      <c r="AX11" s="278"/>
      <c r="AY11" s="293"/>
      <c r="AZ11" s="304">
        <f t="shared" si="2"/>
        <v>0</v>
      </c>
    </row>
    <row r="12" spans="1:52" s="300" customFormat="1" ht="15.75" customHeight="1" x14ac:dyDescent="0.3">
      <c r="A12" s="290">
        <v>1</v>
      </c>
      <c r="B12" s="244" t="s">
        <v>143</v>
      </c>
      <c r="C12" s="242">
        <v>75</v>
      </c>
      <c r="D12" s="238">
        <f t="shared" si="0"/>
        <v>-75</v>
      </c>
      <c r="E12" s="243" t="s">
        <v>200</v>
      </c>
      <c r="F12" s="240">
        <f t="shared" si="1"/>
        <v>77919.12000000001</v>
      </c>
      <c r="G12" s="306"/>
      <c r="H12" s="302">
        <v>7010</v>
      </c>
      <c r="I12" s="303">
        <f>C12</f>
        <v>75</v>
      </c>
      <c r="J12" s="302"/>
      <c r="K12" s="298"/>
      <c r="L12" s="278"/>
      <c r="M12" s="278"/>
      <c r="N12" s="278"/>
      <c r="O12" s="278"/>
      <c r="P12" s="278"/>
      <c r="Q12" s="278"/>
      <c r="R12" s="278"/>
      <c r="S12" s="278"/>
      <c r="T12" s="278"/>
      <c r="U12" s="304"/>
      <c r="V12" s="305"/>
      <c r="W12" s="242">
        <f>SUM(I12)</f>
        <v>75</v>
      </c>
      <c r="X12" s="242"/>
      <c r="Y12" s="278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78"/>
      <c r="AU12" s="278"/>
      <c r="AV12" s="278"/>
      <c r="AW12" s="278"/>
      <c r="AX12" s="278"/>
      <c r="AY12" s="293"/>
      <c r="AZ12" s="304">
        <f t="shared" si="2"/>
        <v>0</v>
      </c>
    </row>
    <row r="13" spans="1:52" s="300" customFormat="1" ht="15.75" customHeight="1" x14ac:dyDescent="0.3">
      <c r="A13" s="290">
        <v>1</v>
      </c>
      <c r="B13" s="241" t="s">
        <v>142</v>
      </c>
      <c r="C13" s="242">
        <v>2500</v>
      </c>
      <c r="D13" s="238">
        <f t="shared" si="0"/>
        <v>-2500</v>
      </c>
      <c r="E13" s="243" t="s">
        <v>201</v>
      </c>
      <c r="F13" s="240">
        <f t="shared" si="1"/>
        <v>75419.12000000001</v>
      </c>
      <c r="G13" s="306"/>
      <c r="H13" s="302">
        <v>7950</v>
      </c>
      <c r="I13" s="303">
        <f>C13</f>
        <v>2500</v>
      </c>
      <c r="J13" s="302"/>
      <c r="K13" s="298"/>
      <c r="L13" s="278"/>
      <c r="M13" s="278"/>
      <c r="N13" s="278"/>
      <c r="O13" s="278"/>
      <c r="P13" s="278"/>
      <c r="Q13" s="278"/>
      <c r="R13" s="278"/>
      <c r="S13" s="278"/>
      <c r="T13" s="278"/>
      <c r="U13" s="304"/>
      <c r="V13" s="305"/>
      <c r="W13" s="278"/>
      <c r="X13" s="242"/>
      <c r="Y13" s="242"/>
      <c r="Z13" s="242">
        <f>SUM(I13)</f>
        <v>2500</v>
      </c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78"/>
      <c r="AU13" s="278"/>
      <c r="AV13" s="278"/>
      <c r="AW13" s="278"/>
      <c r="AX13" s="278"/>
      <c r="AY13" s="293"/>
      <c r="AZ13" s="304">
        <f t="shared" si="2"/>
        <v>0</v>
      </c>
    </row>
    <row r="14" spans="1:52" s="300" customFormat="1" ht="15.75" customHeight="1" x14ac:dyDescent="0.3">
      <c r="A14" s="290">
        <v>1</v>
      </c>
      <c r="B14" s="241" t="s">
        <v>139</v>
      </c>
      <c r="C14" s="242">
        <v>750</v>
      </c>
      <c r="D14" s="238">
        <f t="shared" si="0"/>
        <v>-750</v>
      </c>
      <c r="E14" s="243" t="s">
        <v>200</v>
      </c>
      <c r="F14" s="240">
        <f t="shared" si="1"/>
        <v>74669.12000000001</v>
      </c>
      <c r="G14" s="306"/>
      <c r="H14" s="302">
        <v>7950</v>
      </c>
      <c r="I14" s="303">
        <f>C14</f>
        <v>750</v>
      </c>
      <c r="J14" s="302"/>
      <c r="K14" s="298"/>
      <c r="L14" s="278"/>
      <c r="M14" s="278"/>
      <c r="N14" s="278"/>
      <c r="O14" s="278"/>
      <c r="P14" s="278"/>
      <c r="Q14" s="278"/>
      <c r="R14" s="278"/>
      <c r="S14" s="278"/>
      <c r="T14" s="278"/>
      <c r="U14" s="304"/>
      <c r="V14" s="305"/>
      <c r="W14" s="278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293"/>
      <c r="AU14" s="293"/>
      <c r="AV14" s="305">
        <f>SUM(I14)</f>
        <v>750</v>
      </c>
      <c r="AW14" s="305"/>
      <c r="AX14" s="305"/>
      <c r="AY14" s="293"/>
      <c r="AZ14" s="304">
        <f t="shared" si="2"/>
        <v>0</v>
      </c>
    </row>
    <row r="15" spans="1:52" s="300" customFormat="1" ht="15.75" customHeight="1" x14ac:dyDescent="0.3">
      <c r="A15" s="290">
        <v>1</v>
      </c>
      <c r="B15" s="241" t="s">
        <v>279</v>
      </c>
      <c r="C15" s="242">
        <f>SUM('TS 2019_2020 Est Travel'!F36:F37)</f>
        <v>1967.22</v>
      </c>
      <c r="D15" s="238">
        <f t="shared" si="0"/>
        <v>-1967.22</v>
      </c>
      <c r="E15" s="243" t="s">
        <v>290</v>
      </c>
      <c r="F15" s="240">
        <f t="shared" si="1"/>
        <v>72701.900000000009</v>
      </c>
      <c r="G15" s="306"/>
      <c r="H15" s="302"/>
      <c r="I15" s="303"/>
      <c r="J15" s="302"/>
      <c r="K15" s="298"/>
      <c r="L15" s="278"/>
      <c r="M15" s="278"/>
      <c r="N15" s="278"/>
      <c r="O15" s="278"/>
      <c r="P15" s="278"/>
      <c r="Q15" s="278"/>
      <c r="R15" s="278"/>
      <c r="S15" s="278"/>
      <c r="T15" s="278"/>
      <c r="U15" s="304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5"/>
      <c r="AM15" s="305"/>
      <c r="AN15" s="305"/>
      <c r="AO15" s="305"/>
      <c r="AP15" s="305"/>
      <c r="AQ15" s="305"/>
      <c r="AR15" s="305"/>
      <c r="AS15" s="305"/>
      <c r="AT15" s="293"/>
      <c r="AU15" s="305">
        <f>SUM(C15)</f>
        <v>1967.22</v>
      </c>
      <c r="AV15" s="305"/>
      <c r="AW15" s="305"/>
      <c r="AX15" s="305"/>
      <c r="AY15" s="293"/>
      <c r="AZ15" s="304">
        <f t="shared" si="2"/>
        <v>0</v>
      </c>
    </row>
    <row r="16" spans="1:52" s="300" customFormat="1" ht="15.75" customHeight="1" thickBot="1" x14ac:dyDescent="0.35">
      <c r="A16" s="290">
        <v>1</v>
      </c>
      <c r="B16" s="241" t="s">
        <v>279</v>
      </c>
      <c r="C16" s="242">
        <f>SUM('TS 2019_2020 Est Travel'!G10+'TS 2019_2020 Est Travel'!G13)</f>
        <v>1146</v>
      </c>
      <c r="D16" s="238">
        <f t="shared" si="0"/>
        <v>-1146</v>
      </c>
      <c r="E16" s="243" t="s">
        <v>281</v>
      </c>
      <c r="F16" s="240">
        <f t="shared" si="1"/>
        <v>71555.900000000009</v>
      </c>
      <c r="G16" s="302"/>
      <c r="H16" s="302"/>
      <c r="I16" s="306"/>
      <c r="J16" s="302"/>
      <c r="K16" s="298"/>
      <c r="L16" s="278"/>
      <c r="M16" s="278"/>
      <c r="N16" s="278"/>
      <c r="O16" s="278"/>
      <c r="P16" s="278"/>
      <c r="Q16" s="278"/>
      <c r="R16" s="278"/>
      <c r="S16" s="278"/>
      <c r="T16" s="278"/>
      <c r="U16" s="307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8"/>
      <c r="AI16" s="308"/>
      <c r="AJ16" s="308"/>
      <c r="AK16" s="308"/>
      <c r="AL16" s="308"/>
      <c r="AM16" s="308"/>
      <c r="AN16" s="308"/>
      <c r="AO16" s="308"/>
      <c r="AP16" s="308"/>
      <c r="AQ16" s="308"/>
      <c r="AR16" s="308"/>
      <c r="AS16" s="308">
        <f>SUM(C16)</f>
        <v>1146</v>
      </c>
      <c r="AT16" s="309"/>
      <c r="AU16" s="309"/>
      <c r="AV16" s="309"/>
      <c r="AW16" s="309"/>
      <c r="AX16" s="309"/>
      <c r="AY16" s="309"/>
      <c r="AZ16" s="307"/>
    </row>
    <row r="17" spans="1:52" s="300" customFormat="1" ht="15.75" customHeight="1" x14ac:dyDescent="0.3">
      <c r="A17" s="290"/>
      <c r="B17" s="241"/>
      <c r="C17" s="242"/>
      <c r="D17" s="238"/>
      <c r="E17" s="245" t="s">
        <v>282</v>
      </c>
      <c r="F17" s="240">
        <f t="shared" si="1"/>
        <v>71555.900000000009</v>
      </c>
      <c r="G17" s="302"/>
      <c r="H17" s="302"/>
      <c r="I17" s="306"/>
      <c r="J17" s="302"/>
      <c r="K17" s="298"/>
      <c r="L17" s="278"/>
      <c r="M17" s="278"/>
      <c r="N17" s="278"/>
      <c r="O17" s="278"/>
      <c r="P17" s="278"/>
      <c r="Q17" s="278"/>
      <c r="R17" s="278"/>
      <c r="S17" s="278"/>
      <c r="T17" s="278"/>
      <c r="U17" s="310">
        <f t="shared" ref="U17:AY17" si="3">SUM(U5:U16)</f>
        <v>100</v>
      </c>
      <c r="V17" s="311">
        <f t="shared" si="3"/>
        <v>458.65</v>
      </c>
      <c r="W17" s="311">
        <f t="shared" si="3"/>
        <v>993.17000000000007</v>
      </c>
      <c r="X17" s="311">
        <f t="shared" si="3"/>
        <v>0</v>
      </c>
      <c r="Y17" s="311">
        <f t="shared" si="3"/>
        <v>0</v>
      </c>
      <c r="Z17" s="311">
        <f t="shared" si="3"/>
        <v>2500</v>
      </c>
      <c r="AA17" s="311">
        <f t="shared" si="3"/>
        <v>0</v>
      </c>
      <c r="AB17" s="311">
        <f t="shared" si="3"/>
        <v>0</v>
      </c>
      <c r="AC17" s="311">
        <f t="shared" si="3"/>
        <v>0</v>
      </c>
      <c r="AD17" s="311">
        <f t="shared" si="3"/>
        <v>0</v>
      </c>
      <c r="AE17" s="311">
        <f t="shared" si="3"/>
        <v>0</v>
      </c>
      <c r="AF17" s="311">
        <f t="shared" si="3"/>
        <v>0</v>
      </c>
      <c r="AG17" s="311">
        <f t="shared" si="3"/>
        <v>0</v>
      </c>
      <c r="AH17" s="311">
        <f t="shared" si="3"/>
        <v>0</v>
      </c>
      <c r="AI17" s="311">
        <f t="shared" si="3"/>
        <v>0</v>
      </c>
      <c r="AJ17" s="311">
        <f t="shared" si="3"/>
        <v>0</v>
      </c>
      <c r="AK17" s="311">
        <f t="shared" si="3"/>
        <v>0</v>
      </c>
      <c r="AL17" s="311">
        <f t="shared" si="3"/>
        <v>0</v>
      </c>
      <c r="AM17" s="311">
        <f t="shared" si="3"/>
        <v>0</v>
      </c>
      <c r="AN17" s="311">
        <f t="shared" si="3"/>
        <v>0</v>
      </c>
      <c r="AO17" s="311">
        <f t="shared" si="3"/>
        <v>330.78</v>
      </c>
      <c r="AP17" s="311">
        <f t="shared" si="3"/>
        <v>0</v>
      </c>
      <c r="AQ17" s="311">
        <f t="shared" si="3"/>
        <v>0</v>
      </c>
      <c r="AR17" s="311">
        <f t="shared" si="3"/>
        <v>0</v>
      </c>
      <c r="AS17" s="311">
        <f t="shared" si="3"/>
        <v>1146</v>
      </c>
      <c r="AT17" s="311">
        <f t="shared" si="3"/>
        <v>0</v>
      </c>
      <c r="AU17" s="311">
        <f t="shared" si="3"/>
        <v>1967.22</v>
      </c>
      <c r="AV17" s="311">
        <f t="shared" si="3"/>
        <v>750</v>
      </c>
      <c r="AW17" s="311">
        <f t="shared" si="3"/>
        <v>0</v>
      </c>
      <c r="AX17" s="311">
        <f t="shared" si="3"/>
        <v>0</v>
      </c>
      <c r="AY17" s="311">
        <f t="shared" si="3"/>
        <v>0</v>
      </c>
      <c r="AZ17" s="312"/>
    </row>
    <row r="18" spans="1:52" s="300" customFormat="1" ht="15.75" customHeight="1" x14ac:dyDescent="0.3">
      <c r="A18" s="397">
        <v>2</v>
      </c>
      <c r="B18" s="398" t="s">
        <v>388</v>
      </c>
      <c r="C18" s="399">
        <v>5000</v>
      </c>
      <c r="D18" s="400">
        <f t="shared" si="0"/>
        <v>-5000</v>
      </c>
      <c r="E18" s="401" t="s">
        <v>390</v>
      </c>
      <c r="F18" s="402">
        <f t="shared" si="1"/>
        <v>66555.900000000009</v>
      </c>
      <c r="G18" s="302"/>
      <c r="H18" s="302"/>
      <c r="I18" s="306"/>
      <c r="J18" s="302"/>
      <c r="K18" s="298"/>
      <c r="L18" s="278"/>
      <c r="M18" s="278"/>
      <c r="N18" s="278"/>
      <c r="O18" s="278"/>
      <c r="P18" s="278"/>
      <c r="Q18" s="278"/>
      <c r="R18" s="278"/>
      <c r="S18" s="278"/>
      <c r="T18" s="278"/>
      <c r="U18" s="304"/>
      <c r="V18" s="305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78"/>
      <c r="AU18" s="278"/>
      <c r="AV18" s="278"/>
      <c r="AW18" s="278"/>
      <c r="AX18" s="242">
        <f>SUM(C18)</f>
        <v>5000</v>
      </c>
      <c r="AY18" s="293"/>
      <c r="AZ18" s="304">
        <f t="shared" ref="AZ18:AZ49" si="4">SUM(U18:AY18)-C18</f>
        <v>0</v>
      </c>
    </row>
    <row r="19" spans="1:52" s="300" customFormat="1" ht="15.75" customHeight="1" x14ac:dyDescent="0.3">
      <c r="A19" s="290">
        <v>2</v>
      </c>
      <c r="B19" s="241" t="s">
        <v>199</v>
      </c>
      <c r="C19" s="242">
        <v>6000</v>
      </c>
      <c r="D19" s="238">
        <f t="shared" si="0"/>
        <v>-6000</v>
      </c>
      <c r="E19" s="243" t="s">
        <v>195</v>
      </c>
      <c r="F19" s="240">
        <f t="shared" si="1"/>
        <v>60555.900000000009</v>
      </c>
      <c r="G19" s="302"/>
      <c r="H19" s="302">
        <v>5130</v>
      </c>
      <c r="I19" s="306">
        <f>SUM(C19)</f>
        <v>6000</v>
      </c>
      <c r="J19" s="302"/>
      <c r="K19" s="298"/>
      <c r="L19" s="278"/>
      <c r="M19" s="278"/>
      <c r="N19" s="278"/>
      <c r="O19" s="278"/>
      <c r="P19" s="278"/>
      <c r="Q19" s="278"/>
      <c r="R19" s="278"/>
      <c r="S19" s="278"/>
      <c r="T19" s="278"/>
      <c r="U19" s="304"/>
      <c r="V19" s="305"/>
      <c r="W19" s="242"/>
      <c r="X19" s="242"/>
      <c r="Y19" s="242"/>
      <c r="Z19" s="242"/>
      <c r="AA19" s="242">
        <f>SUM(I19)</f>
        <v>6000</v>
      </c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78"/>
      <c r="AU19" s="278"/>
      <c r="AV19" s="278"/>
      <c r="AW19" s="278"/>
      <c r="AX19" s="278"/>
      <c r="AY19" s="293"/>
      <c r="AZ19" s="304">
        <f t="shared" si="4"/>
        <v>0</v>
      </c>
    </row>
    <row r="20" spans="1:52" s="300" customFormat="1" ht="15.75" customHeight="1" x14ac:dyDescent="0.3">
      <c r="A20" s="290">
        <v>2</v>
      </c>
      <c r="B20" s="241" t="s">
        <v>177</v>
      </c>
      <c r="C20" s="242">
        <v>2000</v>
      </c>
      <c r="D20" s="238">
        <f t="shared" si="0"/>
        <v>-2000</v>
      </c>
      <c r="E20" s="243">
        <v>43862</v>
      </c>
      <c r="F20" s="240">
        <f t="shared" si="1"/>
        <v>58555.900000000009</v>
      </c>
      <c r="G20" s="302"/>
      <c r="H20" s="302"/>
      <c r="I20" s="302"/>
      <c r="J20" s="302"/>
      <c r="K20" s="298"/>
      <c r="L20" s="278"/>
      <c r="M20" s="278"/>
      <c r="N20" s="278"/>
      <c r="O20" s="278"/>
      <c r="P20" s="278"/>
      <c r="Q20" s="278"/>
      <c r="R20" s="278"/>
      <c r="S20" s="278"/>
      <c r="T20" s="278"/>
      <c r="U20" s="304"/>
      <c r="V20" s="305">
        <v>250</v>
      </c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78"/>
      <c r="AU20" s="278"/>
      <c r="AV20" s="278"/>
      <c r="AW20" s="278"/>
      <c r="AX20" s="278"/>
      <c r="AY20" s="305">
        <v>1750</v>
      </c>
      <c r="AZ20" s="304">
        <f t="shared" si="4"/>
        <v>0</v>
      </c>
    </row>
    <row r="21" spans="1:52" s="300" customFormat="1" ht="15.75" customHeight="1" x14ac:dyDescent="0.3">
      <c r="A21" s="290">
        <v>2</v>
      </c>
      <c r="B21" s="241" t="s">
        <v>176</v>
      </c>
      <c r="C21" s="242">
        <v>7500</v>
      </c>
      <c r="D21" s="238">
        <f t="shared" si="0"/>
        <v>-7500</v>
      </c>
      <c r="E21" s="243">
        <v>43862</v>
      </c>
      <c r="F21" s="240">
        <f t="shared" si="1"/>
        <v>51055.900000000009</v>
      </c>
      <c r="G21" s="302"/>
      <c r="H21" s="302">
        <v>5510</v>
      </c>
      <c r="I21" s="303">
        <f>C21</f>
        <v>7500</v>
      </c>
      <c r="J21" s="302"/>
      <c r="K21" s="298"/>
      <c r="L21" s="278"/>
      <c r="M21" s="278"/>
      <c r="N21" s="278"/>
      <c r="O21" s="278"/>
      <c r="P21" s="278"/>
      <c r="Q21" s="278"/>
      <c r="R21" s="278"/>
      <c r="S21" s="278"/>
      <c r="T21" s="278"/>
      <c r="U21" s="304"/>
      <c r="V21" s="305"/>
      <c r="W21" s="242"/>
      <c r="X21" s="242"/>
      <c r="Y21" s="242"/>
      <c r="Z21" s="242"/>
      <c r="AA21" s="242"/>
      <c r="AB21" s="242">
        <f>SUM(I21)</f>
        <v>7500</v>
      </c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78"/>
      <c r="AU21" s="278"/>
      <c r="AV21" s="278"/>
      <c r="AW21" s="278"/>
      <c r="AX21" s="278"/>
      <c r="AY21" s="293"/>
      <c r="AZ21" s="304">
        <f t="shared" si="4"/>
        <v>0</v>
      </c>
    </row>
    <row r="22" spans="1:52" s="278" customFormat="1" ht="15.75" customHeight="1" x14ac:dyDescent="0.3">
      <c r="A22" s="290">
        <v>2</v>
      </c>
      <c r="B22" s="241" t="s">
        <v>175</v>
      </c>
      <c r="C22" s="242">
        <v>550</v>
      </c>
      <c r="D22" s="238">
        <f t="shared" si="0"/>
        <v>-550</v>
      </c>
      <c r="E22" s="243">
        <v>43862</v>
      </c>
      <c r="F22" s="240">
        <f t="shared" si="1"/>
        <v>50505.900000000009</v>
      </c>
      <c r="G22" s="302"/>
      <c r="H22" s="302">
        <v>7650</v>
      </c>
      <c r="I22" s="303">
        <f>C22</f>
        <v>550</v>
      </c>
      <c r="J22" s="302"/>
      <c r="K22" s="298"/>
      <c r="U22" s="304"/>
      <c r="V22" s="305"/>
      <c r="W22" s="242"/>
      <c r="X22" s="242"/>
      <c r="Y22" s="242"/>
      <c r="Z22" s="242"/>
      <c r="AA22" s="242"/>
      <c r="AB22" s="242"/>
      <c r="AC22" s="242">
        <f>SUM(I22)</f>
        <v>550</v>
      </c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Y22" s="293"/>
      <c r="AZ22" s="304">
        <f t="shared" si="4"/>
        <v>0</v>
      </c>
    </row>
    <row r="23" spans="1:52" s="278" customFormat="1" ht="15.75" customHeight="1" x14ac:dyDescent="0.3">
      <c r="A23" s="290">
        <v>2</v>
      </c>
      <c r="B23" s="241" t="s">
        <v>174</v>
      </c>
      <c r="C23" s="242">
        <v>1800</v>
      </c>
      <c r="D23" s="238">
        <f t="shared" si="0"/>
        <v>-1800</v>
      </c>
      <c r="E23" s="243" t="s">
        <v>198</v>
      </c>
      <c r="F23" s="240">
        <f t="shared" si="1"/>
        <v>48705.900000000009</v>
      </c>
      <c r="G23" s="302"/>
      <c r="H23" s="302">
        <v>7650</v>
      </c>
      <c r="I23" s="303">
        <f>C23</f>
        <v>1800</v>
      </c>
      <c r="J23" s="302"/>
      <c r="K23" s="298"/>
      <c r="U23" s="304"/>
      <c r="V23" s="305"/>
      <c r="W23" s="242"/>
      <c r="X23" s="242"/>
      <c r="Y23" s="242"/>
      <c r="Z23" s="242"/>
      <c r="AA23" s="242"/>
      <c r="AB23" s="242"/>
      <c r="AC23" s="242">
        <f>SUM(I23)</f>
        <v>1800</v>
      </c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Y23" s="293"/>
      <c r="AZ23" s="304">
        <f t="shared" si="4"/>
        <v>0</v>
      </c>
    </row>
    <row r="24" spans="1:52" s="278" customFormat="1" ht="15.75" customHeight="1" x14ac:dyDescent="0.3">
      <c r="A24" s="290">
        <v>2</v>
      </c>
      <c r="B24" s="241" t="s">
        <v>172</v>
      </c>
      <c r="C24" s="242">
        <v>9917</v>
      </c>
      <c r="D24" s="238">
        <f t="shared" si="0"/>
        <v>-9917</v>
      </c>
      <c r="E24" s="243">
        <v>43862</v>
      </c>
      <c r="F24" s="240">
        <f t="shared" si="1"/>
        <v>38788.900000000009</v>
      </c>
      <c r="G24" s="302"/>
      <c r="H24" s="302">
        <v>5750</v>
      </c>
      <c r="I24" s="313">
        <v>1584</v>
      </c>
      <c r="J24" s="302">
        <v>5520</v>
      </c>
      <c r="K24" s="298">
        <v>8333</v>
      </c>
      <c r="U24" s="304"/>
      <c r="V24" s="305"/>
      <c r="W24" s="242"/>
      <c r="X24" s="242"/>
      <c r="Y24" s="242"/>
      <c r="Z24" s="242"/>
      <c r="AA24" s="242"/>
      <c r="AB24" s="242"/>
      <c r="AC24" s="242"/>
      <c r="AD24" s="242">
        <f>SUM(I24)</f>
        <v>1584</v>
      </c>
      <c r="AE24" s="242">
        <f>SUM(K24)</f>
        <v>8333</v>
      </c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Y24" s="293"/>
      <c r="AZ24" s="304">
        <f t="shared" si="4"/>
        <v>0</v>
      </c>
    </row>
    <row r="25" spans="1:52" s="278" customFormat="1" ht="15.75" customHeight="1" x14ac:dyDescent="0.3">
      <c r="A25" s="290">
        <v>2</v>
      </c>
      <c r="B25" s="241" t="s">
        <v>171</v>
      </c>
      <c r="C25" s="242">
        <v>34.950000000000003</v>
      </c>
      <c r="D25" s="238">
        <f t="shared" si="0"/>
        <v>-34.950000000000003</v>
      </c>
      <c r="E25" s="243">
        <v>43862</v>
      </c>
      <c r="F25" s="240">
        <f t="shared" si="1"/>
        <v>38753.950000000012</v>
      </c>
      <c r="G25" s="302"/>
      <c r="H25" s="302">
        <v>7850</v>
      </c>
      <c r="I25" s="303">
        <f>C25</f>
        <v>34.950000000000003</v>
      </c>
      <c r="J25" s="302"/>
      <c r="K25" s="298"/>
      <c r="U25" s="304">
        <f>SUM(I25)</f>
        <v>34.950000000000003</v>
      </c>
      <c r="V25" s="305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Y25" s="293"/>
      <c r="AZ25" s="304">
        <f t="shared" si="4"/>
        <v>0</v>
      </c>
    </row>
    <row r="26" spans="1:52" s="278" customFormat="1" ht="15.75" customHeight="1" x14ac:dyDescent="0.3">
      <c r="A26" s="290">
        <v>2</v>
      </c>
      <c r="B26" s="241" t="s">
        <v>169</v>
      </c>
      <c r="C26" s="242">
        <v>150</v>
      </c>
      <c r="D26" s="238">
        <f t="shared" si="0"/>
        <v>-150</v>
      </c>
      <c r="E26" s="243" t="s">
        <v>197</v>
      </c>
      <c r="F26" s="240">
        <f t="shared" si="1"/>
        <v>38603.950000000012</v>
      </c>
      <c r="G26" s="302"/>
      <c r="H26" s="302">
        <v>7090</v>
      </c>
      <c r="I26" s="303">
        <f>C26</f>
        <v>150</v>
      </c>
      <c r="J26" s="302"/>
      <c r="K26" s="298"/>
      <c r="U26" s="304"/>
      <c r="V26" s="305"/>
      <c r="W26" s="242"/>
      <c r="X26" s="242"/>
      <c r="Y26" s="242"/>
      <c r="Z26" s="242"/>
      <c r="AA26" s="242"/>
      <c r="AB26" s="242"/>
      <c r="AC26" s="242"/>
      <c r="AD26" s="242"/>
      <c r="AE26" s="242"/>
      <c r="AF26" s="242">
        <f>SUM(I26)</f>
        <v>150</v>
      </c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Y26" s="293"/>
      <c r="AZ26" s="304">
        <f t="shared" si="4"/>
        <v>0</v>
      </c>
    </row>
    <row r="27" spans="1:52" s="278" customFormat="1" ht="15.75" customHeight="1" x14ac:dyDescent="0.3">
      <c r="A27" s="290">
        <v>2</v>
      </c>
      <c r="B27" s="241" t="s">
        <v>155</v>
      </c>
      <c r="C27" s="242">
        <v>18100</v>
      </c>
      <c r="D27" s="238">
        <f t="shared" si="0"/>
        <v>-18100</v>
      </c>
      <c r="E27" s="243">
        <v>43866</v>
      </c>
      <c r="F27" s="240">
        <f t="shared" si="1"/>
        <v>20503.950000000012</v>
      </c>
      <c r="G27" s="302"/>
      <c r="H27" s="302">
        <v>8570</v>
      </c>
      <c r="I27" s="313">
        <v>1375</v>
      </c>
      <c r="J27" s="302" t="s">
        <v>207</v>
      </c>
      <c r="K27" s="298" t="s">
        <v>207</v>
      </c>
      <c r="L27" s="278">
        <v>8510</v>
      </c>
      <c r="M27" s="298">
        <v>13600</v>
      </c>
      <c r="N27" s="314">
        <v>8250</v>
      </c>
      <c r="O27" s="298">
        <v>1000</v>
      </c>
      <c r="P27" s="314">
        <v>8530</v>
      </c>
      <c r="Q27" s="315">
        <v>2000</v>
      </c>
      <c r="R27" s="314">
        <v>8590</v>
      </c>
      <c r="S27" s="298">
        <v>125</v>
      </c>
      <c r="T27" s="316">
        <f>SUM(I27+M27+O27+Q27+S27)</f>
        <v>18100</v>
      </c>
      <c r="U27" s="304"/>
      <c r="V27" s="305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>
        <f>SUM(I27)</f>
        <v>1375</v>
      </c>
      <c r="AH27" s="242">
        <f>SUM(M27)</f>
        <v>13600</v>
      </c>
      <c r="AI27" s="242">
        <f>SUM(O27)</f>
        <v>1000</v>
      </c>
      <c r="AJ27" s="242">
        <f>SUM(Q27)</f>
        <v>2000</v>
      </c>
      <c r="AK27" s="242">
        <f>SUM(S27)</f>
        <v>125</v>
      </c>
      <c r="AL27" s="242"/>
      <c r="AM27" s="242"/>
      <c r="AN27" s="242"/>
      <c r="AO27" s="242"/>
      <c r="AP27" s="242"/>
      <c r="AQ27" s="242"/>
      <c r="AR27" s="242"/>
      <c r="AS27" s="242"/>
      <c r="AY27" s="293"/>
      <c r="AZ27" s="304">
        <f t="shared" si="4"/>
        <v>0</v>
      </c>
    </row>
    <row r="28" spans="1:52" s="278" customFormat="1" ht="15.75" customHeight="1" x14ac:dyDescent="0.3">
      <c r="A28" s="290">
        <v>2</v>
      </c>
      <c r="B28" s="241" t="s">
        <v>153</v>
      </c>
      <c r="C28" s="242">
        <v>100</v>
      </c>
      <c r="D28" s="238">
        <f t="shared" si="0"/>
        <v>-100</v>
      </c>
      <c r="E28" s="243">
        <v>43869</v>
      </c>
      <c r="F28" s="240">
        <f t="shared" si="1"/>
        <v>20403.950000000012</v>
      </c>
      <c r="G28" s="302"/>
      <c r="H28" s="302">
        <v>7850</v>
      </c>
      <c r="I28" s="303">
        <f>C28</f>
        <v>100</v>
      </c>
      <c r="J28" s="302"/>
      <c r="K28" s="298"/>
      <c r="U28" s="304">
        <f>SUM(I28)</f>
        <v>100</v>
      </c>
      <c r="V28" s="305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Y28" s="293"/>
      <c r="AZ28" s="304">
        <f t="shared" si="4"/>
        <v>0</v>
      </c>
    </row>
    <row r="29" spans="1:52" s="278" customFormat="1" ht="15.75" customHeight="1" x14ac:dyDescent="0.3">
      <c r="A29" s="290">
        <v>2</v>
      </c>
      <c r="B29" s="241" t="s">
        <v>279</v>
      </c>
      <c r="C29" s="242">
        <f>SUM('TS 2019_2020 Est Travel'!G16+'TS 2019_2020 Est Travel'!G20+'TS 2019_2020 Est Travel'!G23)</f>
        <v>2939.25</v>
      </c>
      <c r="D29" s="238">
        <f t="shared" si="0"/>
        <v>-2939.25</v>
      </c>
      <c r="E29" s="243" t="s">
        <v>292</v>
      </c>
      <c r="F29" s="240">
        <f t="shared" si="1"/>
        <v>17464.700000000012</v>
      </c>
      <c r="G29" s="302"/>
      <c r="H29" s="302"/>
      <c r="I29" s="303"/>
      <c r="J29" s="302"/>
      <c r="K29" s="298"/>
      <c r="U29" s="304"/>
      <c r="V29" s="305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U29" s="242">
        <f>SUM(C29)</f>
        <v>2939.25</v>
      </c>
      <c r="AV29" s="242"/>
      <c r="AW29" s="242"/>
      <c r="AX29" s="242"/>
      <c r="AY29" s="293"/>
      <c r="AZ29" s="304">
        <f t="shared" si="4"/>
        <v>0</v>
      </c>
    </row>
    <row r="30" spans="1:52" s="278" customFormat="1" ht="15.75" customHeight="1" x14ac:dyDescent="0.3">
      <c r="A30" s="290">
        <v>2</v>
      </c>
      <c r="B30" s="241" t="s">
        <v>196</v>
      </c>
      <c r="C30" s="242">
        <v>1500</v>
      </c>
      <c r="D30" s="238">
        <f t="shared" si="0"/>
        <v>-1500</v>
      </c>
      <c r="E30" s="243" t="s">
        <v>195</v>
      </c>
      <c r="F30" s="240">
        <f t="shared" si="1"/>
        <v>15964.700000000012</v>
      </c>
      <c r="G30" s="302"/>
      <c r="H30" s="302">
        <v>5170</v>
      </c>
      <c r="I30" s="306">
        <f>SUM(C30)</f>
        <v>1500</v>
      </c>
      <c r="J30" s="302"/>
      <c r="K30" s="298"/>
      <c r="U30" s="304"/>
      <c r="V30" s="305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>
        <f>SUM(I30)</f>
        <v>1500</v>
      </c>
      <c r="AM30" s="242"/>
      <c r="AN30" s="242"/>
      <c r="AO30" s="242"/>
      <c r="AP30" s="242"/>
      <c r="AQ30" s="242"/>
      <c r="AR30" s="242"/>
      <c r="AS30" s="242"/>
      <c r="AY30" s="293"/>
      <c r="AZ30" s="304">
        <f t="shared" si="4"/>
        <v>0</v>
      </c>
    </row>
    <row r="31" spans="1:52" s="278" customFormat="1" ht="15.75" customHeight="1" x14ac:dyDescent="0.3">
      <c r="A31" s="317">
        <v>2</v>
      </c>
      <c r="B31" s="246" t="s">
        <v>262</v>
      </c>
      <c r="C31" s="246"/>
      <c r="D31" s="247">
        <v>85000</v>
      </c>
      <c r="E31" s="248" t="s">
        <v>194</v>
      </c>
      <c r="F31" s="249">
        <f t="shared" si="1"/>
        <v>100964.70000000001</v>
      </c>
      <c r="G31" s="318"/>
      <c r="H31" s="302" t="s">
        <v>207</v>
      </c>
      <c r="I31" s="302" t="s">
        <v>207</v>
      </c>
      <c r="J31" s="302"/>
      <c r="K31" s="298"/>
      <c r="U31" s="304"/>
      <c r="V31" s="305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Y31" s="293"/>
      <c r="AZ31" s="304">
        <f t="shared" si="4"/>
        <v>0</v>
      </c>
    </row>
    <row r="32" spans="1:52" s="278" customFormat="1" ht="15.75" customHeight="1" x14ac:dyDescent="0.3">
      <c r="A32" s="290">
        <v>2</v>
      </c>
      <c r="B32" s="241" t="s">
        <v>162</v>
      </c>
      <c r="C32" s="242">
        <v>60</v>
      </c>
      <c r="D32" s="238">
        <f t="shared" ref="D32:D61" si="5">SUM(C32*-1)</f>
        <v>-60</v>
      </c>
      <c r="E32" s="243">
        <v>43876</v>
      </c>
      <c r="F32" s="240">
        <f t="shared" si="1"/>
        <v>100904.70000000001</v>
      </c>
      <c r="G32" s="302"/>
      <c r="H32" s="302">
        <v>7850</v>
      </c>
      <c r="I32" s="303">
        <f>C32</f>
        <v>60</v>
      </c>
      <c r="J32" s="302"/>
      <c r="K32" s="298"/>
      <c r="U32" s="304">
        <f>SUM(I32)</f>
        <v>60</v>
      </c>
      <c r="V32" s="305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Y32" s="293"/>
      <c r="AZ32" s="304">
        <f t="shared" si="4"/>
        <v>0</v>
      </c>
    </row>
    <row r="33" spans="1:52" s="278" customFormat="1" ht="15.75" customHeight="1" x14ac:dyDescent="0.3">
      <c r="A33" s="290">
        <v>2</v>
      </c>
      <c r="B33" s="241" t="s">
        <v>165</v>
      </c>
      <c r="C33" s="242">
        <v>200</v>
      </c>
      <c r="D33" s="238">
        <f t="shared" si="5"/>
        <v>-200</v>
      </c>
      <c r="E33" s="243">
        <v>43876</v>
      </c>
      <c r="F33" s="240">
        <f t="shared" si="1"/>
        <v>100704.70000000001</v>
      </c>
      <c r="G33" s="302"/>
      <c r="H33" s="302">
        <v>6770</v>
      </c>
      <c r="I33" s="303">
        <f>C33</f>
        <v>200</v>
      </c>
      <c r="J33" s="302"/>
      <c r="K33" s="298"/>
      <c r="U33" s="304"/>
      <c r="V33" s="305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>
        <f>SUM(I33)</f>
        <v>200</v>
      </c>
      <c r="AN33" s="242"/>
      <c r="AO33" s="242"/>
      <c r="AP33" s="242"/>
      <c r="AQ33" s="242"/>
      <c r="AR33" s="242"/>
      <c r="AS33" s="242"/>
      <c r="AY33" s="293"/>
      <c r="AZ33" s="304">
        <f t="shared" si="4"/>
        <v>0</v>
      </c>
    </row>
    <row r="34" spans="1:52" s="278" customFormat="1" ht="15.75" customHeight="1" x14ac:dyDescent="0.3">
      <c r="A34" s="290">
        <v>2</v>
      </c>
      <c r="B34" s="244" t="s">
        <v>164</v>
      </c>
      <c r="C34" s="242">
        <v>625</v>
      </c>
      <c r="D34" s="238">
        <f t="shared" si="5"/>
        <v>-625</v>
      </c>
      <c r="E34" s="243" t="s">
        <v>193</v>
      </c>
      <c r="F34" s="240">
        <f t="shared" si="1"/>
        <v>100079.70000000001</v>
      </c>
      <c r="G34" s="302"/>
      <c r="H34" s="302">
        <v>5540</v>
      </c>
      <c r="I34" s="303">
        <f>C34</f>
        <v>625</v>
      </c>
      <c r="J34" s="302"/>
      <c r="K34" s="298"/>
      <c r="U34" s="304"/>
      <c r="V34" s="305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>
        <f>SUM(I34)</f>
        <v>625</v>
      </c>
      <c r="AO34" s="242"/>
      <c r="AP34" s="242"/>
      <c r="AQ34" s="242"/>
      <c r="AR34" s="242"/>
      <c r="AS34" s="242"/>
      <c r="AY34" s="293"/>
      <c r="AZ34" s="304">
        <f t="shared" si="4"/>
        <v>0</v>
      </c>
    </row>
    <row r="35" spans="1:52" s="278" customFormat="1" ht="15.75" customHeight="1" x14ac:dyDescent="0.3">
      <c r="A35" s="290">
        <v>2</v>
      </c>
      <c r="B35" s="241" t="s">
        <v>279</v>
      </c>
      <c r="C35" s="242">
        <f>SUM('TS 2019_2020 Est Travel'!G18+'TS 2019_2020 Est Travel'!G26+'TS 2019_2020 Est Travel'!G29+'TS 2019_2020 Est Travel'!G33)</f>
        <v>2804.6800000000003</v>
      </c>
      <c r="D35" s="238">
        <f t="shared" si="5"/>
        <v>-2804.6800000000003</v>
      </c>
      <c r="E35" s="243" t="s">
        <v>293</v>
      </c>
      <c r="F35" s="240">
        <f t="shared" si="1"/>
        <v>97275.020000000019</v>
      </c>
      <c r="G35" s="302"/>
      <c r="H35" s="302"/>
      <c r="I35" s="303"/>
      <c r="J35" s="302"/>
      <c r="K35" s="298"/>
      <c r="U35" s="304"/>
      <c r="V35" s="305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>
        <f>SUM(C35)</f>
        <v>2804.6800000000003</v>
      </c>
      <c r="AY35" s="293"/>
      <c r="AZ35" s="304">
        <f t="shared" si="4"/>
        <v>0</v>
      </c>
    </row>
    <row r="36" spans="1:52" s="278" customFormat="1" ht="15.75" customHeight="1" x14ac:dyDescent="0.3">
      <c r="A36" s="290">
        <v>2</v>
      </c>
      <c r="B36" s="244" t="s">
        <v>160</v>
      </c>
      <c r="C36" s="242">
        <v>1833.35</v>
      </c>
      <c r="D36" s="238">
        <f t="shared" si="5"/>
        <v>-1833.35</v>
      </c>
      <c r="E36" s="243">
        <v>43877</v>
      </c>
      <c r="F36" s="240">
        <f t="shared" si="1"/>
        <v>95441.670000000013</v>
      </c>
      <c r="G36" s="302"/>
      <c r="H36" s="302">
        <v>6590</v>
      </c>
      <c r="I36" s="303">
        <f>C36</f>
        <v>1833.35</v>
      </c>
      <c r="J36" s="302"/>
      <c r="K36" s="298"/>
      <c r="U36" s="304"/>
      <c r="V36" s="305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P36" s="242">
        <f>SUM(I36)</f>
        <v>1833.35</v>
      </c>
      <c r="AQ36" s="242"/>
      <c r="AR36" s="242"/>
      <c r="AS36" s="242"/>
      <c r="AY36" s="293"/>
      <c r="AZ36" s="304">
        <f t="shared" si="4"/>
        <v>0</v>
      </c>
    </row>
    <row r="37" spans="1:52" s="278" customFormat="1" ht="15.75" customHeight="1" x14ac:dyDescent="0.3">
      <c r="A37" s="290">
        <v>2</v>
      </c>
      <c r="B37" s="241" t="s">
        <v>155</v>
      </c>
      <c r="C37" s="242">
        <f>SUM(C27)</f>
        <v>18100</v>
      </c>
      <c r="D37" s="238">
        <f t="shared" si="5"/>
        <v>-18100</v>
      </c>
      <c r="E37" s="243">
        <v>43881</v>
      </c>
      <c r="F37" s="240">
        <f t="shared" si="1"/>
        <v>77341.670000000013</v>
      </c>
      <c r="G37" s="302"/>
      <c r="H37" s="302">
        <v>8570</v>
      </c>
      <c r="I37" s="313">
        <v>1375</v>
      </c>
      <c r="J37" s="302" t="s">
        <v>207</v>
      </c>
      <c r="K37" s="298" t="s">
        <v>207</v>
      </c>
      <c r="L37" s="278">
        <v>8510</v>
      </c>
      <c r="M37" s="298">
        <v>13600</v>
      </c>
      <c r="N37" s="314">
        <v>8250</v>
      </c>
      <c r="O37" s="298">
        <v>1000</v>
      </c>
      <c r="P37" s="314">
        <v>8530</v>
      </c>
      <c r="Q37" s="315">
        <v>2000</v>
      </c>
      <c r="R37" s="314">
        <v>8590</v>
      </c>
      <c r="S37" s="298">
        <v>125</v>
      </c>
      <c r="T37" s="316">
        <f>SUM(I37+M37+O37+Q37+S37)</f>
        <v>18100</v>
      </c>
      <c r="U37" s="304"/>
      <c r="V37" s="305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>
        <f>SUM(I37)</f>
        <v>1375</v>
      </c>
      <c r="AH37" s="242">
        <f>SUM(M37)</f>
        <v>13600</v>
      </c>
      <c r="AI37" s="242">
        <f>SUM(O37)</f>
        <v>1000</v>
      </c>
      <c r="AJ37" s="242">
        <f>SUM(Q37)</f>
        <v>2000</v>
      </c>
      <c r="AK37" s="242">
        <f>SUM(S37)</f>
        <v>125</v>
      </c>
      <c r="AL37" s="242"/>
      <c r="AM37" s="242"/>
      <c r="AN37" s="242"/>
      <c r="AO37" s="242"/>
      <c r="AP37" s="242"/>
      <c r="AQ37" s="242"/>
      <c r="AR37" s="242"/>
      <c r="AS37" s="242"/>
      <c r="AY37" s="293"/>
      <c r="AZ37" s="304">
        <f t="shared" si="4"/>
        <v>0</v>
      </c>
    </row>
    <row r="38" spans="1:52" s="278" customFormat="1" ht="15.75" customHeight="1" x14ac:dyDescent="0.3">
      <c r="A38" s="290">
        <v>2</v>
      </c>
      <c r="B38" s="241" t="s">
        <v>153</v>
      </c>
      <c r="C38" s="242">
        <v>100</v>
      </c>
      <c r="D38" s="238">
        <f t="shared" si="5"/>
        <v>-100</v>
      </c>
      <c r="E38" s="243">
        <v>43883</v>
      </c>
      <c r="F38" s="240">
        <f t="shared" si="1"/>
        <v>77241.670000000013</v>
      </c>
      <c r="G38" s="302"/>
      <c r="H38" s="302">
        <v>7850</v>
      </c>
      <c r="I38" s="303">
        <f>C38</f>
        <v>100</v>
      </c>
      <c r="J38" s="302"/>
      <c r="K38" s="298"/>
      <c r="U38" s="304">
        <f>SUM(I38)</f>
        <v>100</v>
      </c>
      <c r="V38" s="305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Y38" s="293"/>
      <c r="AZ38" s="304">
        <f t="shared" si="4"/>
        <v>0</v>
      </c>
    </row>
    <row r="39" spans="1:52" s="278" customFormat="1" ht="15.75" customHeight="1" x14ac:dyDescent="0.3">
      <c r="A39" s="290">
        <v>2</v>
      </c>
      <c r="B39" s="244" t="s">
        <v>266</v>
      </c>
      <c r="C39" s="242">
        <f>SUM('CCD - Mnthly Bills'!C20)</f>
        <v>1523.3625000000002</v>
      </c>
      <c r="D39" s="238">
        <f t="shared" si="5"/>
        <v>-1523.3625000000002</v>
      </c>
      <c r="E39" s="243" t="s">
        <v>265</v>
      </c>
      <c r="F39" s="240">
        <f t="shared" si="1"/>
        <v>75718.30750000001</v>
      </c>
      <c r="G39" s="302"/>
      <c r="H39" s="589" t="s">
        <v>264</v>
      </c>
      <c r="I39" s="589"/>
      <c r="J39" s="302"/>
      <c r="K39" s="298"/>
      <c r="U39" s="304"/>
      <c r="V39" s="305"/>
      <c r="W39" s="242">
        <f>SUM('CCD - Mnthly Bills'!H20)</f>
        <v>104.73750000000001</v>
      </c>
      <c r="X39" s="242"/>
      <c r="Y39" s="242">
        <f>SUM('CCD - Mnthly Bills'!F20)</f>
        <v>778.6875</v>
      </c>
      <c r="Z39" s="242"/>
      <c r="AA39" s="242">
        <f>SUM('CCD - Mnthly Bills'!K20)</f>
        <v>375</v>
      </c>
      <c r="AB39" s="242"/>
      <c r="AC39" s="242"/>
      <c r="AD39" s="242">
        <f>SUM('CCD - Mnthly Bills'!J20)</f>
        <v>90</v>
      </c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>
        <f>SUM('CCD - Mnthly Bills'!G20)</f>
        <v>111.1875</v>
      </c>
      <c r="AR39" s="242">
        <f>SUM('CCD - Mnthly Bills'!I20)</f>
        <v>63.75</v>
      </c>
      <c r="AS39" s="242"/>
      <c r="AY39" s="293"/>
      <c r="AZ39" s="304">
        <f t="shared" si="4"/>
        <v>0</v>
      </c>
    </row>
    <row r="40" spans="1:52" s="278" customFormat="1" ht="15.75" customHeight="1" x14ac:dyDescent="0.3">
      <c r="A40" s="290">
        <v>2</v>
      </c>
      <c r="B40" s="244" t="s">
        <v>288</v>
      </c>
      <c r="C40" s="242">
        <v>17000</v>
      </c>
      <c r="D40" s="238">
        <f>SUM(C40*-1)</f>
        <v>-17000</v>
      </c>
      <c r="E40" s="243" t="s">
        <v>289</v>
      </c>
      <c r="F40" s="240">
        <f t="shared" si="1"/>
        <v>58718.30750000001</v>
      </c>
      <c r="G40" s="302"/>
      <c r="H40" s="319"/>
      <c r="I40" s="319"/>
      <c r="J40" s="302"/>
      <c r="K40" s="298"/>
      <c r="U40" s="304"/>
      <c r="V40" s="305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>
        <v>16500</v>
      </c>
      <c r="AU40" s="298">
        <v>500</v>
      </c>
      <c r="AV40" s="298"/>
      <c r="AW40" s="298"/>
      <c r="AX40" s="298"/>
      <c r="AY40" s="293"/>
      <c r="AZ40" s="304">
        <f t="shared" si="4"/>
        <v>0</v>
      </c>
    </row>
    <row r="41" spans="1:52" s="300" customFormat="1" ht="15.75" customHeight="1" x14ac:dyDescent="0.3">
      <c r="A41" s="290">
        <v>2</v>
      </c>
      <c r="B41" s="241" t="s">
        <v>150</v>
      </c>
      <c r="C41" s="242">
        <v>458.65</v>
      </c>
      <c r="D41" s="238">
        <f t="shared" si="5"/>
        <v>-458.65</v>
      </c>
      <c r="E41" s="243" t="s">
        <v>192</v>
      </c>
      <c r="F41" s="240">
        <f t="shared" si="1"/>
        <v>58259.657500000008</v>
      </c>
      <c r="G41" s="302"/>
      <c r="H41" s="302">
        <v>7910</v>
      </c>
      <c r="I41" s="303">
        <f t="shared" ref="I41:I49" si="6">C41</f>
        <v>458.65</v>
      </c>
      <c r="J41" s="302"/>
      <c r="K41" s="298"/>
      <c r="L41" s="278"/>
      <c r="M41" s="278"/>
      <c r="N41" s="278"/>
      <c r="O41" s="278"/>
      <c r="P41" s="278"/>
      <c r="Q41" s="278"/>
      <c r="R41" s="278"/>
      <c r="S41" s="278"/>
      <c r="T41" s="278"/>
      <c r="U41" s="304"/>
      <c r="V41" s="305">
        <f>SUM(I41)</f>
        <v>458.65</v>
      </c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78"/>
      <c r="AU41" s="278"/>
      <c r="AV41" s="278"/>
      <c r="AW41" s="278"/>
      <c r="AX41" s="278"/>
      <c r="AY41" s="293"/>
      <c r="AZ41" s="304">
        <f t="shared" si="4"/>
        <v>0</v>
      </c>
    </row>
    <row r="42" spans="1:52" s="300" customFormat="1" ht="15.75" customHeight="1" x14ac:dyDescent="0.3">
      <c r="A42" s="290">
        <v>2</v>
      </c>
      <c r="B42" s="241" t="s">
        <v>191</v>
      </c>
      <c r="C42" s="242">
        <v>44.94</v>
      </c>
      <c r="D42" s="238">
        <f t="shared" si="5"/>
        <v>-44.94</v>
      </c>
      <c r="E42" s="243" t="s">
        <v>190</v>
      </c>
      <c r="F42" s="240">
        <f t="shared" si="1"/>
        <v>58214.717500000006</v>
      </c>
      <c r="G42" s="302"/>
      <c r="H42" s="302">
        <v>7950</v>
      </c>
      <c r="I42" s="303">
        <f t="shared" si="6"/>
        <v>44.94</v>
      </c>
      <c r="J42" s="302"/>
      <c r="K42" s="298"/>
      <c r="L42" s="278"/>
      <c r="M42" s="278"/>
      <c r="N42" s="278"/>
      <c r="O42" s="278"/>
      <c r="P42" s="278"/>
      <c r="Q42" s="278"/>
      <c r="R42" s="278"/>
      <c r="S42" s="278"/>
      <c r="T42" s="278"/>
      <c r="U42" s="304"/>
      <c r="V42" s="305"/>
      <c r="W42" s="242">
        <f>SUM(I42)</f>
        <v>44.94</v>
      </c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78"/>
      <c r="AU42" s="278"/>
      <c r="AV42" s="278"/>
      <c r="AW42" s="278"/>
      <c r="AX42" s="278"/>
      <c r="AY42" s="293"/>
      <c r="AZ42" s="304">
        <f t="shared" si="4"/>
        <v>0</v>
      </c>
    </row>
    <row r="43" spans="1:52" s="300" customFormat="1" ht="15.75" customHeight="1" x14ac:dyDescent="0.3">
      <c r="A43" s="290">
        <v>2</v>
      </c>
      <c r="B43" s="241" t="s">
        <v>148</v>
      </c>
      <c r="C43" s="242">
        <v>386.23</v>
      </c>
      <c r="D43" s="238">
        <f t="shared" si="5"/>
        <v>-386.23</v>
      </c>
      <c r="E43" s="243" t="s">
        <v>189</v>
      </c>
      <c r="F43" s="240">
        <f t="shared" si="1"/>
        <v>57828.487500000003</v>
      </c>
      <c r="G43" s="302"/>
      <c r="H43" s="302">
        <v>7950</v>
      </c>
      <c r="I43" s="303">
        <f t="shared" si="6"/>
        <v>386.23</v>
      </c>
      <c r="J43" s="302"/>
      <c r="K43" s="298"/>
      <c r="L43" s="278"/>
      <c r="M43" s="278"/>
      <c r="N43" s="278"/>
      <c r="O43" s="278"/>
      <c r="P43" s="278"/>
      <c r="Q43" s="278"/>
      <c r="R43" s="278"/>
      <c r="S43" s="278"/>
      <c r="T43" s="278"/>
      <c r="U43" s="304"/>
      <c r="V43" s="305"/>
      <c r="W43" s="242">
        <f>SUM(I43)</f>
        <v>386.23</v>
      </c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78"/>
      <c r="AU43" s="278"/>
      <c r="AV43" s="278"/>
      <c r="AW43" s="278"/>
      <c r="AX43" s="278"/>
      <c r="AY43" s="293"/>
      <c r="AZ43" s="304">
        <f t="shared" si="4"/>
        <v>0</v>
      </c>
    </row>
    <row r="44" spans="1:52" s="300" customFormat="1" ht="15.75" customHeight="1" x14ac:dyDescent="0.3">
      <c r="A44" s="290">
        <v>2</v>
      </c>
      <c r="B44" s="241" t="s">
        <v>146</v>
      </c>
      <c r="C44" s="242">
        <v>149.99</v>
      </c>
      <c r="D44" s="238">
        <f t="shared" si="5"/>
        <v>-149.99</v>
      </c>
      <c r="E44" s="243">
        <v>43889</v>
      </c>
      <c r="F44" s="240">
        <f t="shared" si="1"/>
        <v>57678.497500000005</v>
      </c>
      <c r="G44" s="302"/>
      <c r="H44" s="302">
        <v>7950</v>
      </c>
      <c r="I44" s="303">
        <f t="shared" si="6"/>
        <v>149.99</v>
      </c>
      <c r="J44" s="302"/>
      <c r="K44" s="298"/>
      <c r="L44" s="278"/>
      <c r="M44" s="278"/>
      <c r="N44" s="278"/>
      <c r="O44" s="278"/>
      <c r="P44" s="278"/>
      <c r="Q44" s="278"/>
      <c r="R44" s="278"/>
      <c r="S44" s="278"/>
      <c r="T44" s="278"/>
      <c r="U44" s="304"/>
      <c r="V44" s="305"/>
      <c r="W44" s="242">
        <f>SUM(I44)</f>
        <v>149.99</v>
      </c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78"/>
      <c r="AU44" s="278"/>
      <c r="AV44" s="278"/>
      <c r="AW44" s="278"/>
      <c r="AX44" s="278"/>
      <c r="AY44" s="293"/>
      <c r="AZ44" s="304">
        <f t="shared" si="4"/>
        <v>0</v>
      </c>
    </row>
    <row r="45" spans="1:52" s="300" customFormat="1" ht="15.75" customHeight="1" x14ac:dyDescent="0.3">
      <c r="A45" s="290">
        <v>2</v>
      </c>
      <c r="B45" s="241" t="s">
        <v>142</v>
      </c>
      <c r="C45" s="242">
        <v>2500</v>
      </c>
      <c r="D45" s="238">
        <f t="shared" si="5"/>
        <v>-2500</v>
      </c>
      <c r="E45" s="243">
        <v>43890</v>
      </c>
      <c r="F45" s="240">
        <f t="shared" si="1"/>
        <v>55178.497500000005</v>
      </c>
      <c r="G45" s="302"/>
      <c r="H45" s="302">
        <v>7950</v>
      </c>
      <c r="I45" s="303">
        <f t="shared" si="6"/>
        <v>2500</v>
      </c>
      <c r="J45" s="302"/>
      <c r="K45" s="298"/>
      <c r="L45" s="278"/>
      <c r="M45" s="278"/>
      <c r="N45" s="278"/>
      <c r="O45" s="278"/>
      <c r="P45" s="278"/>
      <c r="Q45" s="278"/>
      <c r="R45" s="278"/>
      <c r="S45" s="278"/>
      <c r="T45" s="278"/>
      <c r="U45" s="304"/>
      <c r="V45" s="305"/>
      <c r="W45" s="278"/>
      <c r="X45" s="242"/>
      <c r="Y45" s="242"/>
      <c r="Z45" s="242">
        <f>SUM(I45)</f>
        <v>2500</v>
      </c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78"/>
      <c r="AU45" s="278"/>
      <c r="AV45" s="278"/>
      <c r="AW45" s="278"/>
      <c r="AX45" s="278"/>
      <c r="AY45" s="293"/>
      <c r="AZ45" s="304">
        <f t="shared" si="4"/>
        <v>0</v>
      </c>
    </row>
    <row r="46" spans="1:52" s="300" customFormat="1" ht="15.75" customHeight="1" x14ac:dyDescent="0.3">
      <c r="A46" s="290">
        <v>2</v>
      </c>
      <c r="B46" s="241" t="s">
        <v>141</v>
      </c>
      <c r="C46" s="242">
        <v>1080</v>
      </c>
      <c r="D46" s="238">
        <f t="shared" si="5"/>
        <v>-1080</v>
      </c>
      <c r="E46" s="243">
        <v>43890</v>
      </c>
      <c r="F46" s="240">
        <f t="shared" si="1"/>
        <v>54098.497500000005</v>
      </c>
      <c r="G46" s="302"/>
      <c r="H46" s="302">
        <v>5710</v>
      </c>
      <c r="I46" s="303">
        <f t="shared" si="6"/>
        <v>1080</v>
      </c>
      <c r="J46" s="302"/>
      <c r="K46" s="298"/>
      <c r="L46" s="278"/>
      <c r="M46" s="278"/>
      <c r="N46" s="278"/>
      <c r="O46" s="278"/>
      <c r="P46" s="278"/>
      <c r="Q46" s="278"/>
      <c r="R46" s="278"/>
      <c r="S46" s="278"/>
      <c r="T46" s="278"/>
      <c r="U46" s="304"/>
      <c r="V46" s="305"/>
      <c r="W46" s="242"/>
      <c r="X46" s="242">
        <f>SUM(I46)</f>
        <v>1080</v>
      </c>
      <c r="Y46" s="242"/>
      <c r="Z46" s="278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78"/>
      <c r="AU46" s="278"/>
      <c r="AV46" s="278"/>
      <c r="AW46" s="278"/>
      <c r="AX46" s="278"/>
      <c r="AY46" s="293"/>
      <c r="AZ46" s="304">
        <f t="shared" si="4"/>
        <v>0</v>
      </c>
    </row>
    <row r="47" spans="1:52" s="300" customFormat="1" ht="15.75" customHeight="1" x14ac:dyDescent="0.3">
      <c r="A47" s="290">
        <v>2</v>
      </c>
      <c r="B47" s="241" t="s">
        <v>144</v>
      </c>
      <c r="C47" s="242">
        <v>300</v>
      </c>
      <c r="D47" s="238">
        <f t="shared" si="5"/>
        <v>-300</v>
      </c>
      <c r="E47" s="243" t="s">
        <v>188</v>
      </c>
      <c r="F47" s="240">
        <f t="shared" si="1"/>
        <v>53798.497500000005</v>
      </c>
      <c r="G47" s="302"/>
      <c r="H47" s="302">
        <v>6730</v>
      </c>
      <c r="I47" s="303">
        <f t="shared" si="6"/>
        <v>300</v>
      </c>
      <c r="J47" s="302"/>
      <c r="K47" s="298"/>
      <c r="L47" s="278"/>
      <c r="M47" s="278"/>
      <c r="N47" s="278"/>
      <c r="O47" s="278"/>
      <c r="P47" s="278"/>
      <c r="Q47" s="278"/>
      <c r="R47" s="278"/>
      <c r="S47" s="278"/>
      <c r="T47" s="278"/>
      <c r="U47" s="304"/>
      <c r="V47" s="305"/>
      <c r="W47" s="242">
        <f>SUM(I47)</f>
        <v>300</v>
      </c>
      <c r="X47" s="278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78"/>
      <c r="AU47" s="278"/>
      <c r="AV47" s="278"/>
      <c r="AW47" s="278"/>
      <c r="AX47" s="278"/>
      <c r="AY47" s="293"/>
      <c r="AZ47" s="304">
        <f t="shared" si="4"/>
        <v>0</v>
      </c>
    </row>
    <row r="48" spans="1:52" s="300" customFormat="1" ht="15.75" customHeight="1" x14ac:dyDescent="0.3">
      <c r="A48" s="290">
        <v>2</v>
      </c>
      <c r="B48" s="244" t="s">
        <v>143</v>
      </c>
      <c r="C48" s="242">
        <v>75</v>
      </c>
      <c r="D48" s="238">
        <f t="shared" si="5"/>
        <v>-75</v>
      </c>
      <c r="E48" s="243" t="s">
        <v>188</v>
      </c>
      <c r="F48" s="240">
        <f t="shared" si="1"/>
        <v>53723.497500000005</v>
      </c>
      <c r="G48" s="302"/>
      <c r="H48" s="302">
        <v>7010</v>
      </c>
      <c r="I48" s="303">
        <f t="shared" si="6"/>
        <v>75</v>
      </c>
      <c r="J48" s="302"/>
      <c r="K48" s="298"/>
      <c r="L48" s="278"/>
      <c r="M48" s="278"/>
      <c r="N48" s="278"/>
      <c r="O48" s="278"/>
      <c r="P48" s="278"/>
      <c r="Q48" s="278"/>
      <c r="R48" s="278"/>
      <c r="S48" s="278"/>
      <c r="T48" s="278"/>
      <c r="U48" s="304"/>
      <c r="V48" s="305"/>
      <c r="W48" s="242">
        <f>SUM(I48)</f>
        <v>75</v>
      </c>
      <c r="X48" s="242"/>
      <c r="Y48" s="278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78"/>
      <c r="AU48" s="278"/>
      <c r="AV48" s="278"/>
      <c r="AW48" s="278"/>
      <c r="AX48" s="278"/>
      <c r="AY48" s="293"/>
      <c r="AZ48" s="304">
        <f t="shared" si="4"/>
        <v>0</v>
      </c>
    </row>
    <row r="49" spans="1:52" s="300" customFormat="1" ht="15.75" customHeight="1" thickBot="1" x14ac:dyDescent="0.35">
      <c r="A49" s="338">
        <v>2</v>
      </c>
      <c r="B49" s="339" t="s">
        <v>178</v>
      </c>
      <c r="C49" s="340">
        <f>SUM('MMWW Repayment Sch'!H16)</f>
        <v>24882.35</v>
      </c>
      <c r="D49" s="341">
        <f t="shared" si="5"/>
        <v>-24882.35</v>
      </c>
      <c r="E49" s="342" t="s">
        <v>378</v>
      </c>
      <c r="F49" s="343">
        <f t="shared" si="1"/>
        <v>28841.147500000006</v>
      </c>
      <c r="G49" s="302"/>
      <c r="H49" s="302">
        <v>5130</v>
      </c>
      <c r="I49" s="303">
        <f t="shared" si="6"/>
        <v>24882.35</v>
      </c>
      <c r="J49" s="302"/>
      <c r="K49" s="298"/>
      <c r="L49" s="278"/>
      <c r="M49" s="278"/>
      <c r="N49" s="278"/>
      <c r="O49" s="278"/>
      <c r="P49" s="278"/>
      <c r="Q49" s="278"/>
      <c r="R49" s="278"/>
      <c r="S49" s="278"/>
      <c r="T49" s="278"/>
      <c r="U49" s="307"/>
      <c r="V49" s="308"/>
      <c r="W49" s="308"/>
      <c r="X49" s="308"/>
      <c r="Y49" s="308"/>
      <c r="Z49" s="308"/>
      <c r="AA49" s="308">
        <f>SUM(I49)</f>
        <v>24882.35</v>
      </c>
      <c r="AB49" s="308"/>
      <c r="AC49" s="308"/>
      <c r="AD49" s="308"/>
      <c r="AE49" s="308"/>
      <c r="AF49" s="308"/>
      <c r="AG49" s="308"/>
      <c r="AH49" s="308"/>
      <c r="AI49" s="308"/>
      <c r="AJ49" s="308"/>
      <c r="AK49" s="308"/>
      <c r="AL49" s="308"/>
      <c r="AM49" s="308"/>
      <c r="AN49" s="308"/>
      <c r="AO49" s="308"/>
      <c r="AP49" s="308"/>
      <c r="AQ49" s="308"/>
      <c r="AR49" s="308"/>
      <c r="AS49" s="308"/>
      <c r="AT49" s="309"/>
      <c r="AU49" s="309"/>
      <c r="AV49" s="309"/>
      <c r="AW49" s="309"/>
      <c r="AX49" s="309"/>
      <c r="AY49" s="309"/>
      <c r="AZ49" s="307">
        <f t="shared" si="4"/>
        <v>0</v>
      </c>
    </row>
    <row r="50" spans="1:52" s="327" customFormat="1" ht="15.75" customHeight="1" x14ac:dyDescent="0.3">
      <c r="A50" s="321"/>
      <c r="B50" s="255"/>
      <c r="C50" s="256"/>
      <c r="D50" s="257"/>
      <c r="E50" s="258" t="s">
        <v>283</v>
      </c>
      <c r="F50" s="240">
        <f t="shared" si="1"/>
        <v>28841.147500000006</v>
      </c>
      <c r="G50" s="302"/>
      <c r="H50" s="302"/>
      <c r="I50" s="303"/>
      <c r="J50" s="302"/>
      <c r="K50" s="322"/>
      <c r="L50" s="323"/>
      <c r="M50" s="323"/>
      <c r="N50" s="323"/>
      <c r="O50" s="323"/>
      <c r="P50" s="323"/>
      <c r="Q50" s="323"/>
      <c r="R50" s="323"/>
      <c r="S50" s="323"/>
      <c r="T50" s="323"/>
      <c r="U50" s="324">
        <f t="shared" ref="U50:AY50" si="7">SUM(U18:U49)</f>
        <v>294.95</v>
      </c>
      <c r="V50" s="325">
        <f t="shared" si="7"/>
        <v>708.65</v>
      </c>
      <c r="W50" s="325">
        <f t="shared" si="7"/>
        <v>1060.8975</v>
      </c>
      <c r="X50" s="325">
        <f t="shared" si="7"/>
        <v>1080</v>
      </c>
      <c r="Y50" s="325">
        <f t="shared" si="7"/>
        <v>778.6875</v>
      </c>
      <c r="Z50" s="325">
        <f t="shared" si="7"/>
        <v>2500</v>
      </c>
      <c r="AA50" s="325">
        <f t="shared" si="7"/>
        <v>31257.35</v>
      </c>
      <c r="AB50" s="325">
        <f t="shared" si="7"/>
        <v>7500</v>
      </c>
      <c r="AC50" s="325">
        <f t="shared" si="7"/>
        <v>2350</v>
      </c>
      <c r="AD50" s="325">
        <f t="shared" si="7"/>
        <v>1674</v>
      </c>
      <c r="AE50" s="325">
        <f t="shared" si="7"/>
        <v>8333</v>
      </c>
      <c r="AF50" s="325">
        <f t="shared" si="7"/>
        <v>150</v>
      </c>
      <c r="AG50" s="325">
        <f t="shared" si="7"/>
        <v>2750</v>
      </c>
      <c r="AH50" s="325">
        <f t="shared" si="7"/>
        <v>27200</v>
      </c>
      <c r="AI50" s="325">
        <f t="shared" si="7"/>
        <v>2000</v>
      </c>
      <c r="AJ50" s="325">
        <f t="shared" si="7"/>
        <v>4000</v>
      </c>
      <c r="AK50" s="325">
        <f t="shared" si="7"/>
        <v>250</v>
      </c>
      <c r="AL50" s="325">
        <f t="shared" si="7"/>
        <v>1500</v>
      </c>
      <c r="AM50" s="325">
        <f t="shared" si="7"/>
        <v>200</v>
      </c>
      <c r="AN50" s="325">
        <f t="shared" si="7"/>
        <v>625</v>
      </c>
      <c r="AO50" s="325">
        <f t="shared" si="7"/>
        <v>0</v>
      </c>
      <c r="AP50" s="325">
        <f t="shared" si="7"/>
        <v>1833.35</v>
      </c>
      <c r="AQ50" s="325">
        <f t="shared" si="7"/>
        <v>111.1875</v>
      </c>
      <c r="AR50" s="325">
        <f t="shared" si="7"/>
        <v>63.75</v>
      </c>
      <c r="AS50" s="325">
        <f t="shared" si="7"/>
        <v>0</v>
      </c>
      <c r="AT50" s="325">
        <f t="shared" si="7"/>
        <v>19304.68</v>
      </c>
      <c r="AU50" s="325">
        <f t="shared" si="7"/>
        <v>3439.25</v>
      </c>
      <c r="AV50" s="325">
        <f t="shared" si="7"/>
        <v>0</v>
      </c>
      <c r="AW50" s="325">
        <f t="shared" si="7"/>
        <v>0</v>
      </c>
      <c r="AX50" s="325">
        <f t="shared" si="7"/>
        <v>5000</v>
      </c>
      <c r="AY50" s="325">
        <f t="shared" si="7"/>
        <v>1750</v>
      </c>
      <c r="AZ50" s="326"/>
    </row>
    <row r="51" spans="1:52" s="327" customFormat="1" ht="15.75" customHeight="1" x14ac:dyDescent="0.3">
      <c r="A51" s="397">
        <v>3</v>
      </c>
      <c r="B51" s="398" t="s">
        <v>388</v>
      </c>
      <c r="C51" s="399">
        <f>C18</f>
        <v>5000</v>
      </c>
      <c r="D51" s="400">
        <f t="shared" ref="D51" si="8">SUM(C51*-1)</f>
        <v>-5000</v>
      </c>
      <c r="E51" s="401" t="s">
        <v>390</v>
      </c>
      <c r="F51" s="402">
        <f t="shared" si="1"/>
        <v>23841.147500000006</v>
      </c>
      <c r="G51" s="302"/>
      <c r="H51" s="302"/>
      <c r="I51" s="303"/>
      <c r="J51" s="302"/>
      <c r="K51" s="322"/>
      <c r="L51" s="323"/>
      <c r="M51" s="323"/>
      <c r="N51" s="323"/>
      <c r="O51" s="323"/>
      <c r="P51" s="323"/>
      <c r="Q51" s="323"/>
      <c r="R51" s="323"/>
      <c r="S51" s="323"/>
      <c r="T51" s="323"/>
      <c r="U51" s="326"/>
      <c r="V51" s="328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323"/>
      <c r="AU51" s="323"/>
      <c r="AV51" s="323"/>
      <c r="AW51" s="323"/>
      <c r="AX51" s="256">
        <f>SUM(C51)</f>
        <v>5000</v>
      </c>
      <c r="AY51" s="329"/>
      <c r="AZ51" s="304">
        <f t="shared" ref="AZ51:AZ115" si="9">SUM(U51:AY51)-C51</f>
        <v>0</v>
      </c>
    </row>
    <row r="52" spans="1:52" s="300" customFormat="1" ht="15.75" customHeight="1" x14ac:dyDescent="0.3">
      <c r="A52" s="290">
        <v>3</v>
      </c>
      <c r="B52" s="241" t="s">
        <v>177</v>
      </c>
      <c r="C52" s="242">
        <v>2000</v>
      </c>
      <c r="D52" s="238">
        <f t="shared" si="5"/>
        <v>-2000</v>
      </c>
      <c r="E52" s="243">
        <v>43891</v>
      </c>
      <c r="F52" s="240">
        <f>SUM(F51+D52)</f>
        <v>21841.147500000006</v>
      </c>
      <c r="G52" s="302"/>
      <c r="H52" s="302"/>
      <c r="I52" s="303"/>
      <c r="J52" s="302"/>
      <c r="K52" s="298"/>
      <c r="L52" s="278"/>
      <c r="M52" s="278"/>
      <c r="N52" s="278"/>
      <c r="O52" s="278"/>
      <c r="P52" s="278"/>
      <c r="Q52" s="278"/>
      <c r="R52" s="278"/>
      <c r="S52" s="278"/>
      <c r="T52" s="278"/>
      <c r="U52" s="304"/>
      <c r="V52" s="305">
        <v>250</v>
      </c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78"/>
      <c r="AU52" s="278"/>
      <c r="AV52" s="278"/>
      <c r="AW52" s="278"/>
      <c r="AX52" s="278"/>
      <c r="AY52" s="305">
        <v>1750</v>
      </c>
      <c r="AZ52" s="304">
        <f t="shared" si="9"/>
        <v>0</v>
      </c>
    </row>
    <row r="53" spans="1:52" s="300" customFormat="1" ht="15.75" customHeight="1" x14ac:dyDescent="0.3">
      <c r="A53" s="290">
        <v>3</v>
      </c>
      <c r="B53" s="241" t="s">
        <v>176</v>
      </c>
      <c r="C53" s="242">
        <v>7500</v>
      </c>
      <c r="D53" s="238">
        <f t="shared" si="5"/>
        <v>-7500</v>
      </c>
      <c r="E53" s="243">
        <v>43891</v>
      </c>
      <c r="F53" s="240">
        <f t="shared" si="1"/>
        <v>14341.147500000006</v>
      </c>
      <c r="G53" s="302"/>
      <c r="H53" s="302">
        <v>5510</v>
      </c>
      <c r="I53" s="303">
        <f>C53</f>
        <v>7500</v>
      </c>
      <c r="J53" s="302"/>
      <c r="K53" s="298"/>
      <c r="L53" s="278"/>
      <c r="M53" s="278"/>
      <c r="N53" s="278"/>
      <c r="O53" s="278"/>
      <c r="P53" s="278"/>
      <c r="Q53" s="278"/>
      <c r="R53" s="278"/>
      <c r="S53" s="278"/>
      <c r="T53" s="278"/>
      <c r="U53" s="304"/>
      <c r="V53" s="305"/>
      <c r="W53" s="242"/>
      <c r="X53" s="242"/>
      <c r="Y53" s="242"/>
      <c r="Z53" s="242"/>
      <c r="AA53" s="242"/>
      <c r="AB53" s="242">
        <f>SUM(I53)</f>
        <v>7500</v>
      </c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78"/>
      <c r="AU53" s="278"/>
      <c r="AV53" s="278"/>
      <c r="AW53" s="278"/>
      <c r="AX53" s="278"/>
      <c r="AY53" s="293"/>
      <c r="AZ53" s="304">
        <f t="shared" si="9"/>
        <v>0</v>
      </c>
    </row>
    <row r="54" spans="1:52" s="300" customFormat="1" ht="15.75" customHeight="1" x14ac:dyDescent="0.3">
      <c r="A54" s="290">
        <v>3</v>
      </c>
      <c r="B54" s="241" t="s">
        <v>175</v>
      </c>
      <c r="C54" s="242">
        <v>550</v>
      </c>
      <c r="D54" s="238">
        <f t="shared" si="5"/>
        <v>-550</v>
      </c>
      <c r="E54" s="243">
        <v>43891</v>
      </c>
      <c r="F54" s="240">
        <f t="shared" si="1"/>
        <v>13791.147500000006</v>
      </c>
      <c r="G54" s="302"/>
      <c r="H54" s="302">
        <v>7650</v>
      </c>
      <c r="I54" s="303">
        <f>C54</f>
        <v>550</v>
      </c>
      <c r="J54" s="302"/>
      <c r="K54" s="298"/>
      <c r="L54" s="278"/>
      <c r="M54" s="278"/>
      <c r="N54" s="278"/>
      <c r="O54" s="278"/>
      <c r="P54" s="278"/>
      <c r="Q54" s="278"/>
      <c r="R54" s="278"/>
      <c r="S54" s="278"/>
      <c r="T54" s="278"/>
      <c r="U54" s="304"/>
      <c r="V54" s="305"/>
      <c r="W54" s="242"/>
      <c r="X54" s="242"/>
      <c r="Y54" s="242"/>
      <c r="Z54" s="242"/>
      <c r="AA54" s="242"/>
      <c r="AB54" s="242"/>
      <c r="AC54" s="242">
        <f>SUM(I54)</f>
        <v>550</v>
      </c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78"/>
      <c r="AU54" s="278"/>
      <c r="AV54" s="278"/>
      <c r="AW54" s="278"/>
      <c r="AX54" s="278"/>
      <c r="AY54" s="293"/>
      <c r="AZ54" s="304">
        <f t="shared" si="9"/>
        <v>0</v>
      </c>
    </row>
    <row r="55" spans="1:52" s="300" customFormat="1" ht="15.75" customHeight="1" x14ac:dyDescent="0.3">
      <c r="A55" s="290">
        <v>3</v>
      </c>
      <c r="B55" s="241" t="s">
        <v>174</v>
      </c>
      <c r="C55" s="242">
        <v>1800</v>
      </c>
      <c r="D55" s="238">
        <f t="shared" si="5"/>
        <v>-1800</v>
      </c>
      <c r="E55" s="243" t="s">
        <v>187</v>
      </c>
      <c r="F55" s="240">
        <f t="shared" si="1"/>
        <v>11991.147500000006</v>
      </c>
      <c r="G55" s="302"/>
      <c r="H55" s="302">
        <v>7650</v>
      </c>
      <c r="I55" s="303">
        <f>C55</f>
        <v>1800</v>
      </c>
      <c r="J55" s="302"/>
      <c r="K55" s="298"/>
      <c r="L55" s="278"/>
      <c r="M55" s="278"/>
      <c r="N55" s="278"/>
      <c r="O55" s="278"/>
      <c r="P55" s="278"/>
      <c r="Q55" s="278"/>
      <c r="R55" s="278"/>
      <c r="S55" s="278"/>
      <c r="T55" s="278"/>
      <c r="U55" s="304"/>
      <c r="V55" s="305"/>
      <c r="W55" s="242"/>
      <c r="X55" s="242"/>
      <c r="Y55" s="242"/>
      <c r="Z55" s="242"/>
      <c r="AA55" s="242"/>
      <c r="AB55" s="242"/>
      <c r="AC55" s="242">
        <f>SUM(I55)</f>
        <v>1800</v>
      </c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78"/>
      <c r="AU55" s="278"/>
      <c r="AV55" s="278"/>
      <c r="AW55" s="278"/>
      <c r="AX55" s="278"/>
      <c r="AY55" s="293"/>
      <c r="AZ55" s="304">
        <f t="shared" si="9"/>
        <v>0</v>
      </c>
    </row>
    <row r="56" spans="1:52" s="300" customFormat="1" ht="15.75" customHeight="1" x14ac:dyDescent="0.3">
      <c r="A56" s="290">
        <v>3</v>
      </c>
      <c r="B56" s="241" t="s">
        <v>172</v>
      </c>
      <c r="C56" s="242">
        <v>9917</v>
      </c>
      <c r="D56" s="238">
        <f t="shared" si="5"/>
        <v>-9917</v>
      </c>
      <c r="E56" s="243">
        <v>43891</v>
      </c>
      <c r="F56" s="240">
        <f t="shared" si="1"/>
        <v>2074.1475000000064</v>
      </c>
      <c r="G56" s="302"/>
      <c r="H56" s="302">
        <v>5750</v>
      </c>
      <c r="I56" s="313">
        <v>1584</v>
      </c>
      <c r="J56" s="302">
        <v>5520</v>
      </c>
      <c r="K56" s="298">
        <v>8333</v>
      </c>
      <c r="L56" s="278"/>
      <c r="M56" s="278"/>
      <c r="N56" s="278"/>
      <c r="O56" s="278"/>
      <c r="P56" s="278"/>
      <c r="Q56" s="278"/>
      <c r="R56" s="278"/>
      <c r="S56" s="278"/>
      <c r="T56" s="278"/>
      <c r="U56" s="304"/>
      <c r="V56" s="305"/>
      <c r="W56" s="242"/>
      <c r="X56" s="242"/>
      <c r="Y56" s="242"/>
      <c r="Z56" s="242"/>
      <c r="AA56" s="242"/>
      <c r="AB56" s="242"/>
      <c r="AC56" s="242"/>
      <c r="AD56" s="242">
        <f>SUM(I56)</f>
        <v>1584</v>
      </c>
      <c r="AE56" s="242">
        <f>SUM(K56)</f>
        <v>8333</v>
      </c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78"/>
      <c r="AU56" s="278"/>
      <c r="AV56" s="278"/>
      <c r="AW56" s="278"/>
      <c r="AX56" s="278"/>
      <c r="AY56" s="293"/>
      <c r="AZ56" s="304">
        <f t="shared" si="9"/>
        <v>0</v>
      </c>
    </row>
    <row r="57" spans="1:52" s="300" customFormat="1" ht="15.75" customHeight="1" x14ac:dyDescent="0.3">
      <c r="A57" s="290">
        <v>3</v>
      </c>
      <c r="B57" s="241" t="s">
        <v>171</v>
      </c>
      <c r="C57" s="242">
        <v>34.950000000000003</v>
      </c>
      <c r="D57" s="238">
        <f t="shared" si="5"/>
        <v>-34.950000000000003</v>
      </c>
      <c r="E57" s="243">
        <v>43891</v>
      </c>
      <c r="F57" s="240">
        <f t="shared" si="1"/>
        <v>2039.1975000000064</v>
      </c>
      <c r="G57" s="302"/>
      <c r="H57" s="302">
        <v>7850</v>
      </c>
      <c r="I57" s="303">
        <f>C57</f>
        <v>34.950000000000003</v>
      </c>
      <c r="J57" s="302"/>
      <c r="K57" s="298"/>
      <c r="L57" s="278"/>
      <c r="M57" s="278"/>
      <c r="N57" s="278"/>
      <c r="O57" s="278"/>
      <c r="P57" s="278"/>
      <c r="Q57" s="278"/>
      <c r="R57" s="278"/>
      <c r="S57" s="278"/>
      <c r="T57" s="278"/>
      <c r="U57" s="304">
        <f>SUM(I57)</f>
        <v>34.950000000000003</v>
      </c>
      <c r="V57" s="305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78"/>
      <c r="AU57" s="278"/>
      <c r="AV57" s="278"/>
      <c r="AW57" s="278"/>
      <c r="AX57" s="278"/>
      <c r="AY57" s="293"/>
      <c r="AZ57" s="304">
        <f t="shared" si="9"/>
        <v>0</v>
      </c>
    </row>
    <row r="58" spans="1:52" s="300" customFormat="1" ht="15.75" customHeight="1" x14ac:dyDescent="0.3">
      <c r="A58" s="290">
        <v>3</v>
      </c>
      <c r="B58" s="241" t="s">
        <v>169</v>
      </c>
      <c r="C58" s="242">
        <v>150</v>
      </c>
      <c r="D58" s="238">
        <f t="shared" si="5"/>
        <v>-150</v>
      </c>
      <c r="E58" s="243" t="s">
        <v>186</v>
      </c>
      <c r="F58" s="240">
        <f t="shared" si="1"/>
        <v>1889.1975000000064</v>
      </c>
      <c r="G58" s="302"/>
      <c r="H58" s="302">
        <v>7090</v>
      </c>
      <c r="I58" s="303">
        <f>C58</f>
        <v>150</v>
      </c>
      <c r="J58" s="302"/>
      <c r="K58" s="298"/>
      <c r="L58" s="278"/>
      <c r="M58" s="278"/>
      <c r="N58" s="278"/>
      <c r="O58" s="278"/>
      <c r="P58" s="278"/>
      <c r="Q58" s="278"/>
      <c r="R58" s="278"/>
      <c r="S58" s="278"/>
      <c r="T58" s="278"/>
      <c r="U58" s="304"/>
      <c r="V58" s="305"/>
      <c r="W58" s="242"/>
      <c r="X58" s="242"/>
      <c r="Y58" s="242"/>
      <c r="Z58" s="242"/>
      <c r="AA58" s="242"/>
      <c r="AB58" s="242"/>
      <c r="AC58" s="242"/>
      <c r="AD58" s="242"/>
      <c r="AE58" s="242"/>
      <c r="AF58" s="242">
        <f>SUM(I58)</f>
        <v>150</v>
      </c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78"/>
      <c r="AU58" s="278"/>
      <c r="AV58" s="278"/>
      <c r="AW58" s="278"/>
      <c r="AX58" s="278"/>
      <c r="AY58" s="293"/>
      <c r="AZ58" s="304">
        <f t="shared" si="9"/>
        <v>0</v>
      </c>
    </row>
    <row r="59" spans="1:52" s="300" customFormat="1" ht="15.75" customHeight="1" x14ac:dyDescent="0.3">
      <c r="A59" s="290">
        <v>3</v>
      </c>
      <c r="B59" s="241" t="s">
        <v>392</v>
      </c>
      <c r="C59" s="242">
        <v>4500</v>
      </c>
      <c r="D59" s="238">
        <f t="shared" si="5"/>
        <v>-4500</v>
      </c>
      <c r="E59" s="243" t="s">
        <v>393</v>
      </c>
      <c r="F59" s="240">
        <f t="shared" si="1"/>
        <v>-2610.8024999999934</v>
      </c>
      <c r="G59" s="302"/>
      <c r="H59" s="302"/>
      <c r="I59" s="303">
        <f>C59</f>
        <v>4500</v>
      </c>
      <c r="J59" s="302"/>
      <c r="K59" s="298"/>
      <c r="L59" s="278"/>
      <c r="M59" s="278"/>
      <c r="N59" s="278"/>
      <c r="O59" s="278"/>
      <c r="P59" s="278"/>
      <c r="Q59" s="278"/>
      <c r="R59" s="278"/>
      <c r="S59" s="278"/>
      <c r="T59" s="278"/>
      <c r="U59" s="304"/>
      <c r="V59" s="305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78"/>
      <c r="AU59" s="278"/>
      <c r="AV59" s="278"/>
      <c r="AW59" s="242">
        <f>SUM(C59)</f>
        <v>4500</v>
      </c>
      <c r="AX59" s="278"/>
      <c r="AY59" s="293"/>
      <c r="AZ59" s="304">
        <f t="shared" si="9"/>
        <v>0</v>
      </c>
    </row>
    <row r="60" spans="1:52" s="300" customFormat="1" ht="15.75" customHeight="1" x14ac:dyDescent="0.3">
      <c r="A60" s="330">
        <v>3</v>
      </c>
      <c r="B60" s="260" t="s">
        <v>155</v>
      </c>
      <c r="C60" s="261">
        <f>SUM(T60)</f>
        <v>13385</v>
      </c>
      <c r="D60" s="262">
        <f t="shared" si="5"/>
        <v>-13385</v>
      </c>
      <c r="E60" s="263">
        <v>43895</v>
      </c>
      <c r="F60" s="264">
        <f t="shared" si="1"/>
        <v>-15995.802499999994</v>
      </c>
      <c r="G60" s="302"/>
      <c r="H60" s="302">
        <v>8570</v>
      </c>
      <c r="I60" s="313">
        <v>1010</v>
      </c>
      <c r="J60" s="302" t="s">
        <v>207</v>
      </c>
      <c r="K60" s="298" t="s">
        <v>207</v>
      </c>
      <c r="L60" s="278">
        <v>8510</v>
      </c>
      <c r="M60" s="298">
        <v>10000</v>
      </c>
      <c r="N60" s="314">
        <v>8520</v>
      </c>
      <c r="O60" s="298">
        <v>750</v>
      </c>
      <c r="P60" s="314">
        <v>8530</v>
      </c>
      <c r="Q60" s="315">
        <v>1500</v>
      </c>
      <c r="R60" s="314">
        <v>8590</v>
      </c>
      <c r="S60" s="298">
        <v>125</v>
      </c>
      <c r="T60" s="316">
        <f>SUM(I60+M60+O60+Q60+S60)</f>
        <v>13385</v>
      </c>
      <c r="U60" s="304"/>
      <c r="V60" s="305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>
        <f>SUM(I60)</f>
        <v>1010</v>
      </c>
      <c r="AH60" s="242">
        <f>SUM(M60)</f>
        <v>10000</v>
      </c>
      <c r="AI60" s="242">
        <f>SUM(O60)</f>
        <v>750</v>
      </c>
      <c r="AJ60" s="242">
        <f>SUM(Q60)</f>
        <v>1500</v>
      </c>
      <c r="AK60" s="242">
        <f>SUM(S60)</f>
        <v>125</v>
      </c>
      <c r="AL60" s="242"/>
      <c r="AM60" s="242"/>
      <c r="AN60" s="242"/>
      <c r="AO60" s="242"/>
      <c r="AP60" s="242"/>
      <c r="AQ60" s="242"/>
      <c r="AR60" s="242"/>
      <c r="AS60" s="242"/>
      <c r="AT60" s="278"/>
      <c r="AU60" s="278"/>
      <c r="AV60" s="278"/>
      <c r="AW60" s="278"/>
      <c r="AX60" s="278"/>
      <c r="AY60" s="293"/>
      <c r="AZ60" s="304">
        <f t="shared" si="9"/>
        <v>0</v>
      </c>
    </row>
    <row r="61" spans="1:52" s="300" customFormat="1" ht="15.75" customHeight="1" x14ac:dyDescent="0.3">
      <c r="A61" s="290">
        <v>3</v>
      </c>
      <c r="B61" s="241" t="s">
        <v>153</v>
      </c>
      <c r="C61" s="242">
        <v>100</v>
      </c>
      <c r="D61" s="238">
        <f t="shared" si="5"/>
        <v>-100</v>
      </c>
      <c r="E61" s="243">
        <v>43897</v>
      </c>
      <c r="F61" s="240">
        <f t="shared" si="1"/>
        <v>-16095.802499999994</v>
      </c>
      <c r="G61" s="302"/>
      <c r="H61" s="302">
        <v>7850</v>
      </c>
      <c r="I61" s="303">
        <f>C61</f>
        <v>100</v>
      </c>
      <c r="J61" s="302"/>
      <c r="K61" s="298"/>
      <c r="L61" s="278"/>
      <c r="M61" s="278"/>
      <c r="N61" s="278"/>
      <c r="O61" s="278"/>
      <c r="P61" s="278"/>
      <c r="Q61" s="278"/>
      <c r="R61" s="278"/>
      <c r="S61" s="278"/>
      <c r="T61" s="278"/>
      <c r="U61" s="304">
        <f>SUM(I61)</f>
        <v>100</v>
      </c>
      <c r="V61" s="305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78"/>
      <c r="AU61" s="278"/>
      <c r="AV61" s="278"/>
      <c r="AW61" s="278"/>
      <c r="AX61" s="278"/>
      <c r="AY61" s="293"/>
      <c r="AZ61" s="304">
        <f t="shared" si="9"/>
        <v>0</v>
      </c>
    </row>
    <row r="62" spans="1:52" s="300" customFormat="1" ht="15.75" customHeight="1" x14ac:dyDescent="0.3">
      <c r="A62" s="331">
        <v>3</v>
      </c>
      <c r="B62" s="265" t="s">
        <v>157</v>
      </c>
      <c r="C62" s="266"/>
      <c r="D62" s="267">
        <v>40630.800000000003</v>
      </c>
      <c r="E62" s="268" t="s">
        <v>158</v>
      </c>
      <c r="F62" s="269">
        <f t="shared" si="1"/>
        <v>24534.997500000009</v>
      </c>
      <c r="G62" s="82"/>
      <c r="H62" s="302" t="s">
        <v>207</v>
      </c>
      <c r="I62" s="303">
        <f>SUM(I60*M62)</f>
        <v>0</v>
      </c>
      <c r="J62" s="302"/>
      <c r="K62" s="298"/>
      <c r="L62" s="278"/>
      <c r="M62" s="278"/>
      <c r="N62" s="278"/>
      <c r="O62" s="278"/>
      <c r="P62" s="278"/>
      <c r="Q62" s="278"/>
      <c r="R62" s="278"/>
      <c r="S62" s="278"/>
      <c r="T62" s="278"/>
      <c r="U62" s="304"/>
      <c r="V62" s="305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78"/>
      <c r="AU62" s="278"/>
      <c r="AV62" s="278"/>
      <c r="AW62" s="278"/>
      <c r="AX62" s="278"/>
      <c r="AY62" s="293"/>
      <c r="AZ62" s="304">
        <f t="shared" si="9"/>
        <v>0</v>
      </c>
    </row>
    <row r="63" spans="1:52" s="300" customFormat="1" ht="15.75" customHeight="1" x14ac:dyDescent="0.3">
      <c r="A63" s="331">
        <v>3</v>
      </c>
      <c r="B63" s="265" t="s">
        <v>157</v>
      </c>
      <c r="C63" s="266"/>
      <c r="D63" s="141">
        <v>262637.08</v>
      </c>
      <c r="E63" s="268" t="s">
        <v>156</v>
      </c>
      <c r="F63" s="269">
        <f t="shared" si="1"/>
        <v>287172.07750000001</v>
      </c>
      <c r="G63" s="302"/>
      <c r="H63" s="302" t="s">
        <v>207</v>
      </c>
      <c r="I63" s="302" t="s">
        <v>207</v>
      </c>
      <c r="J63" s="302"/>
      <c r="K63" s="298"/>
      <c r="L63" s="278"/>
      <c r="M63" s="278"/>
      <c r="N63" s="278"/>
      <c r="O63" s="278"/>
      <c r="P63" s="278"/>
      <c r="Q63" s="278"/>
      <c r="R63" s="278"/>
      <c r="S63" s="278"/>
      <c r="T63" s="278"/>
      <c r="U63" s="304"/>
      <c r="V63" s="305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78"/>
      <c r="AU63" s="278"/>
      <c r="AV63" s="278"/>
      <c r="AW63" s="278"/>
      <c r="AX63" s="278"/>
      <c r="AY63" s="293"/>
      <c r="AZ63" s="304">
        <f t="shared" si="9"/>
        <v>0</v>
      </c>
    </row>
    <row r="64" spans="1:52" s="300" customFormat="1" ht="15.75" customHeight="1" x14ac:dyDescent="0.3">
      <c r="A64" s="290">
        <v>3</v>
      </c>
      <c r="B64" s="241" t="s">
        <v>165</v>
      </c>
      <c r="C64" s="242">
        <v>200</v>
      </c>
      <c r="D64" s="238">
        <f>SUM(C64*-1)</f>
        <v>-200</v>
      </c>
      <c r="E64" s="243">
        <v>43905</v>
      </c>
      <c r="F64" s="240">
        <f t="shared" si="1"/>
        <v>286972.07750000001</v>
      </c>
      <c r="G64" s="82"/>
      <c r="H64" s="302">
        <v>6770</v>
      </c>
      <c r="I64" s="303">
        <f>C64</f>
        <v>200</v>
      </c>
      <c r="J64" s="302"/>
      <c r="K64" s="298"/>
      <c r="L64" s="278"/>
      <c r="M64" s="278"/>
      <c r="N64" s="278"/>
      <c r="O64" s="278"/>
      <c r="P64" s="278"/>
      <c r="Q64" s="278"/>
      <c r="R64" s="278"/>
      <c r="S64" s="278"/>
      <c r="T64" s="278"/>
      <c r="U64" s="304"/>
      <c r="V64" s="305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>
        <f>SUM(I64)</f>
        <v>200</v>
      </c>
      <c r="AN64" s="242"/>
      <c r="AO64" s="242"/>
      <c r="AP64" s="242"/>
      <c r="AQ64" s="242"/>
      <c r="AR64" s="242"/>
      <c r="AS64" s="242"/>
      <c r="AT64" s="278"/>
      <c r="AU64" s="278"/>
      <c r="AV64" s="278"/>
      <c r="AW64" s="278"/>
      <c r="AX64" s="278"/>
      <c r="AY64" s="293"/>
      <c r="AZ64" s="304">
        <f t="shared" si="9"/>
        <v>0</v>
      </c>
    </row>
    <row r="65" spans="1:52" s="300" customFormat="1" ht="15.75" customHeight="1" x14ac:dyDescent="0.3">
      <c r="A65" s="290">
        <v>3</v>
      </c>
      <c r="B65" s="244" t="s">
        <v>164</v>
      </c>
      <c r="C65" s="242">
        <v>625</v>
      </c>
      <c r="D65" s="238">
        <f>SUM(C65*-1)</f>
        <v>-625</v>
      </c>
      <c r="E65" s="243" t="s">
        <v>185</v>
      </c>
      <c r="F65" s="240">
        <f t="shared" si="1"/>
        <v>286347.07750000001</v>
      </c>
      <c r="G65" s="82"/>
      <c r="H65" s="302">
        <v>5540</v>
      </c>
      <c r="I65" s="303">
        <f>C65</f>
        <v>625</v>
      </c>
      <c r="J65" s="302"/>
      <c r="K65" s="298"/>
      <c r="L65" s="278"/>
      <c r="M65" s="278"/>
      <c r="N65" s="278"/>
      <c r="O65" s="278"/>
      <c r="P65" s="278"/>
      <c r="Q65" s="278"/>
      <c r="R65" s="278"/>
      <c r="S65" s="278"/>
      <c r="T65" s="278"/>
      <c r="U65" s="304"/>
      <c r="V65" s="305"/>
      <c r="W65" s="242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>
        <f>SUM(I65)</f>
        <v>625</v>
      </c>
      <c r="AO65" s="242"/>
      <c r="AP65" s="242"/>
      <c r="AQ65" s="242"/>
      <c r="AR65" s="242"/>
      <c r="AS65" s="242"/>
      <c r="AT65" s="278"/>
      <c r="AU65" s="278"/>
      <c r="AV65" s="278"/>
      <c r="AW65" s="278"/>
      <c r="AX65" s="278"/>
      <c r="AY65" s="293"/>
      <c r="AZ65" s="304">
        <f t="shared" si="9"/>
        <v>0</v>
      </c>
    </row>
    <row r="66" spans="1:52" s="300" customFormat="1" ht="15.75" customHeight="1" x14ac:dyDescent="0.3">
      <c r="A66" s="290">
        <v>3</v>
      </c>
      <c r="B66" s="241" t="s">
        <v>162</v>
      </c>
      <c r="C66" s="242">
        <v>60</v>
      </c>
      <c r="D66" s="238">
        <f>SUM(C66*-1)</f>
        <v>-60</v>
      </c>
      <c r="E66" s="243">
        <v>43905</v>
      </c>
      <c r="F66" s="240">
        <f t="shared" si="1"/>
        <v>286287.07750000001</v>
      </c>
      <c r="G66" s="82"/>
      <c r="H66" s="302">
        <v>7850</v>
      </c>
      <c r="I66" s="303">
        <f>C66</f>
        <v>60</v>
      </c>
      <c r="J66" s="302"/>
      <c r="K66" s="298"/>
      <c r="L66" s="278"/>
      <c r="M66" s="278"/>
      <c r="N66" s="278"/>
      <c r="O66" s="278"/>
      <c r="P66" s="278"/>
      <c r="Q66" s="278"/>
      <c r="R66" s="278"/>
      <c r="S66" s="278"/>
      <c r="T66" s="278"/>
      <c r="U66" s="304">
        <f>SUM(I66)</f>
        <v>60</v>
      </c>
      <c r="V66" s="305"/>
      <c r="W66" s="242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42"/>
      <c r="AN66" s="242"/>
      <c r="AO66" s="242"/>
      <c r="AP66" s="242"/>
      <c r="AQ66" s="242"/>
      <c r="AR66" s="242"/>
      <c r="AS66" s="242"/>
      <c r="AT66" s="278"/>
      <c r="AU66" s="278"/>
      <c r="AV66" s="278"/>
      <c r="AW66" s="278"/>
      <c r="AX66" s="278"/>
      <c r="AY66" s="293"/>
      <c r="AZ66" s="304">
        <f t="shared" si="9"/>
        <v>0</v>
      </c>
    </row>
    <row r="67" spans="1:52" s="300" customFormat="1" ht="15.75" customHeight="1" x14ac:dyDescent="0.3">
      <c r="A67" s="290">
        <v>3</v>
      </c>
      <c r="B67" s="244" t="s">
        <v>160</v>
      </c>
      <c r="C67" s="237">
        <v>1833.35</v>
      </c>
      <c r="D67" s="238">
        <f>SUM(C67*-1)</f>
        <v>-1833.35</v>
      </c>
      <c r="E67" s="243">
        <v>43906</v>
      </c>
      <c r="F67" s="240">
        <f t="shared" si="1"/>
        <v>284453.72750000004</v>
      </c>
      <c r="G67" s="82"/>
      <c r="H67" s="302">
        <v>6590</v>
      </c>
      <c r="I67" s="303">
        <f>C67</f>
        <v>1833.35</v>
      </c>
      <c r="J67" s="302"/>
      <c r="K67" s="298"/>
      <c r="L67" s="278"/>
      <c r="M67" s="278"/>
      <c r="N67" s="278"/>
      <c r="O67" s="278"/>
      <c r="P67" s="278"/>
      <c r="Q67" s="278"/>
      <c r="R67" s="278"/>
      <c r="S67" s="278"/>
      <c r="T67" s="278"/>
      <c r="U67" s="304"/>
      <c r="V67" s="305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78"/>
      <c r="AP67" s="242">
        <f>SUM(I67)</f>
        <v>1833.35</v>
      </c>
      <c r="AQ67" s="242"/>
      <c r="AR67" s="242"/>
      <c r="AS67" s="242"/>
      <c r="AT67" s="278"/>
      <c r="AU67" s="278"/>
      <c r="AV67" s="278"/>
      <c r="AW67" s="278"/>
      <c r="AX67" s="278"/>
      <c r="AY67" s="293"/>
      <c r="AZ67" s="304">
        <f t="shared" si="9"/>
        <v>0</v>
      </c>
    </row>
    <row r="68" spans="1:52" s="300" customFormat="1" ht="15.75" customHeight="1" x14ac:dyDescent="0.3">
      <c r="A68" s="321">
        <v>3</v>
      </c>
      <c r="B68" s="255" t="s">
        <v>155</v>
      </c>
      <c r="C68" s="256">
        <v>13385</v>
      </c>
      <c r="D68" s="257">
        <v>-13385</v>
      </c>
      <c r="E68" s="259">
        <v>43895</v>
      </c>
      <c r="F68" s="240">
        <f t="shared" si="1"/>
        <v>271068.72750000004</v>
      </c>
      <c r="G68" s="82"/>
      <c r="H68" s="302">
        <v>8570</v>
      </c>
      <c r="I68" s="313">
        <v>1010</v>
      </c>
      <c r="J68" s="302" t="s">
        <v>207</v>
      </c>
      <c r="K68" s="298" t="s">
        <v>207</v>
      </c>
      <c r="L68" s="278">
        <v>8510</v>
      </c>
      <c r="M68" s="298">
        <v>10000</v>
      </c>
      <c r="N68" s="314">
        <v>8520</v>
      </c>
      <c r="O68" s="298">
        <v>750</v>
      </c>
      <c r="P68" s="314">
        <v>8530</v>
      </c>
      <c r="Q68" s="315">
        <v>1500</v>
      </c>
      <c r="R68" s="314">
        <v>8590</v>
      </c>
      <c r="S68" s="298">
        <v>125</v>
      </c>
      <c r="T68" s="316">
        <v>13385</v>
      </c>
      <c r="U68" s="304"/>
      <c r="V68" s="305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>
        <v>1010</v>
      </c>
      <c r="AH68" s="242">
        <v>10000</v>
      </c>
      <c r="AI68" s="242">
        <v>750</v>
      </c>
      <c r="AJ68" s="242">
        <v>1500</v>
      </c>
      <c r="AK68" s="242">
        <v>125</v>
      </c>
      <c r="AL68" s="242"/>
      <c r="AM68" s="242"/>
      <c r="AN68" s="242"/>
      <c r="AO68" s="242"/>
      <c r="AP68" s="242"/>
      <c r="AQ68" s="242"/>
      <c r="AR68" s="242"/>
      <c r="AS68" s="242"/>
      <c r="AT68" s="278"/>
      <c r="AU68" s="278"/>
      <c r="AV68" s="278"/>
      <c r="AW68" s="278"/>
      <c r="AX68" s="278"/>
      <c r="AY68" s="293"/>
      <c r="AZ68" s="304">
        <v>0</v>
      </c>
    </row>
    <row r="69" spans="1:52" s="300" customFormat="1" ht="15.75" customHeight="1" x14ac:dyDescent="0.3">
      <c r="A69" s="317">
        <v>3</v>
      </c>
      <c r="B69" s="270" t="s">
        <v>360</v>
      </c>
      <c r="C69" s="271"/>
      <c r="D69" s="247">
        <v>-50000</v>
      </c>
      <c r="E69" s="248" t="s">
        <v>361</v>
      </c>
      <c r="F69" s="249">
        <f t="shared" si="1"/>
        <v>221068.72750000004</v>
      </c>
      <c r="G69" s="82"/>
      <c r="H69" s="302" t="s">
        <v>207</v>
      </c>
      <c r="I69" s="302" t="s">
        <v>207</v>
      </c>
      <c r="J69" s="302"/>
      <c r="K69" s="298"/>
      <c r="L69" s="278"/>
      <c r="M69" s="278"/>
      <c r="N69" s="278"/>
      <c r="O69" s="278"/>
      <c r="P69" s="278"/>
      <c r="Q69" s="278"/>
      <c r="R69" s="278"/>
      <c r="S69" s="278"/>
      <c r="T69" s="278"/>
      <c r="U69" s="304"/>
      <c r="V69" s="305"/>
      <c r="W69" s="242"/>
      <c r="X69" s="242"/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  <c r="AO69" s="242"/>
      <c r="AP69" s="242"/>
      <c r="AQ69" s="242"/>
      <c r="AR69" s="242"/>
      <c r="AS69" s="242"/>
      <c r="AT69" s="278"/>
      <c r="AU69" s="278"/>
      <c r="AV69" s="278"/>
      <c r="AW69" s="278"/>
      <c r="AX69" s="278"/>
      <c r="AY69" s="293"/>
      <c r="AZ69" s="304">
        <f t="shared" si="9"/>
        <v>0</v>
      </c>
    </row>
    <row r="70" spans="1:52" s="300" customFormat="1" ht="15.75" customHeight="1" x14ac:dyDescent="0.3">
      <c r="A70" s="290">
        <v>3</v>
      </c>
      <c r="B70" s="241" t="s">
        <v>153</v>
      </c>
      <c r="C70" s="242">
        <v>100</v>
      </c>
      <c r="D70" s="238">
        <f t="shared" ref="D70:D101" si="10">SUM(C70*-1)</f>
        <v>-100</v>
      </c>
      <c r="E70" s="243">
        <v>43911</v>
      </c>
      <c r="F70" s="240">
        <f t="shared" ref="F70:F133" si="11">SUM(F69+D70)</f>
        <v>220968.72750000004</v>
      </c>
      <c r="G70" s="302"/>
      <c r="H70" s="302">
        <v>7850</v>
      </c>
      <c r="I70" s="303">
        <f>C70</f>
        <v>100</v>
      </c>
      <c r="J70" s="302"/>
      <c r="K70" s="298"/>
      <c r="L70" s="236"/>
      <c r="M70" s="290"/>
      <c r="N70" s="278"/>
      <c r="O70" s="278"/>
      <c r="P70" s="278"/>
      <c r="Q70" s="278"/>
      <c r="R70" s="278"/>
      <c r="S70" s="278"/>
      <c r="T70" s="278"/>
      <c r="U70" s="304">
        <f>SUM(I70)</f>
        <v>100</v>
      </c>
      <c r="V70" s="305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78"/>
      <c r="AU70" s="278"/>
      <c r="AV70" s="278"/>
      <c r="AW70" s="278"/>
      <c r="AX70" s="278"/>
      <c r="AY70" s="293"/>
      <c r="AZ70" s="304">
        <f t="shared" si="9"/>
        <v>0</v>
      </c>
    </row>
    <row r="71" spans="1:52" s="300" customFormat="1" ht="15.75" customHeight="1" x14ac:dyDescent="0.3">
      <c r="A71" s="290">
        <v>3</v>
      </c>
      <c r="B71" s="244" t="s">
        <v>266</v>
      </c>
      <c r="C71" s="242">
        <f>SUM('CCD - Mnthly Bills'!C20)</f>
        <v>1523.3625000000002</v>
      </c>
      <c r="D71" s="238">
        <f t="shared" si="10"/>
        <v>-1523.3625000000002</v>
      </c>
      <c r="E71" s="243" t="s">
        <v>267</v>
      </c>
      <c r="F71" s="240">
        <f t="shared" si="11"/>
        <v>219445.36500000005</v>
      </c>
      <c r="G71" s="302"/>
      <c r="H71" s="589" t="s">
        <v>264</v>
      </c>
      <c r="I71" s="589"/>
      <c r="J71" s="302"/>
      <c r="K71" s="298"/>
      <c r="L71" s="278"/>
      <c r="M71" s="278"/>
      <c r="N71" s="278"/>
      <c r="O71" s="278"/>
      <c r="P71" s="278"/>
      <c r="Q71" s="278"/>
      <c r="R71" s="278"/>
      <c r="S71" s="278"/>
      <c r="T71" s="278"/>
      <c r="U71" s="304"/>
      <c r="V71" s="305"/>
      <c r="W71" s="242">
        <f>SUM(W39)</f>
        <v>104.73750000000001</v>
      </c>
      <c r="X71" s="242"/>
      <c r="Y71" s="242">
        <f>SUM(Y39)</f>
        <v>778.6875</v>
      </c>
      <c r="Z71" s="242"/>
      <c r="AA71" s="242">
        <f>SUM(AA39)</f>
        <v>375</v>
      </c>
      <c r="AB71" s="242"/>
      <c r="AC71" s="242"/>
      <c r="AD71" s="242">
        <f>SUM(AD39)</f>
        <v>90</v>
      </c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>
        <f>SUM(AQ39)</f>
        <v>111.1875</v>
      </c>
      <c r="AR71" s="242">
        <f>SUM(AR39)</f>
        <v>63.75</v>
      </c>
      <c r="AS71" s="242"/>
      <c r="AT71" s="278"/>
      <c r="AU71" s="278"/>
      <c r="AV71" s="278"/>
      <c r="AW71" s="278"/>
      <c r="AX71" s="278"/>
      <c r="AY71" s="293"/>
      <c r="AZ71" s="304">
        <f t="shared" si="9"/>
        <v>0</v>
      </c>
    </row>
    <row r="72" spans="1:52" s="300" customFormat="1" ht="15.75" customHeight="1" x14ac:dyDescent="0.3">
      <c r="A72" s="290">
        <v>3</v>
      </c>
      <c r="B72" s="241" t="s">
        <v>150</v>
      </c>
      <c r="C72" s="242">
        <v>458.65</v>
      </c>
      <c r="D72" s="238">
        <f t="shared" si="10"/>
        <v>-458.65</v>
      </c>
      <c r="E72" s="243" t="s">
        <v>183</v>
      </c>
      <c r="F72" s="240">
        <f t="shared" si="11"/>
        <v>218986.71500000005</v>
      </c>
      <c r="G72" s="302"/>
      <c r="H72" s="302">
        <v>7910</v>
      </c>
      <c r="I72" s="303">
        <f t="shared" ref="I72:I81" si="12">C72</f>
        <v>458.65</v>
      </c>
      <c r="J72" s="302"/>
      <c r="K72" s="298"/>
      <c r="L72" s="278"/>
      <c r="M72" s="278"/>
      <c r="N72" s="278"/>
      <c r="O72" s="278"/>
      <c r="P72" s="278"/>
      <c r="Q72" s="278"/>
      <c r="R72" s="278"/>
      <c r="S72" s="278"/>
      <c r="T72" s="278"/>
      <c r="U72" s="304"/>
      <c r="V72" s="305">
        <f>SUM(I72)</f>
        <v>458.65</v>
      </c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78"/>
      <c r="AU72" s="278"/>
      <c r="AV72" s="278"/>
      <c r="AW72" s="278"/>
      <c r="AX72" s="278"/>
      <c r="AY72" s="293"/>
      <c r="AZ72" s="304">
        <f t="shared" si="9"/>
        <v>0</v>
      </c>
    </row>
    <row r="73" spans="1:52" s="300" customFormat="1" ht="15.75" customHeight="1" x14ac:dyDescent="0.3">
      <c r="A73" s="290">
        <v>3</v>
      </c>
      <c r="B73" s="241" t="s">
        <v>279</v>
      </c>
      <c r="C73" s="242">
        <f>SUM('TS 2019_2020 Est Travel'!F40+'TS 2019_2020 Est Travel'!F41+'TS 2019_2020 Est Travel'!F38+'TS 2019_2020 Est Travel'!F35+'TS 2019_2020 Est Travel'!F34+'TS 2019_2020 Est Travel'!F32+'TS 2019_2020 Est Travel'!F31+'TS 2019_2020 Est Travel'!F30)</f>
        <v>2707.6</v>
      </c>
      <c r="D73" s="238">
        <f t="shared" si="10"/>
        <v>-2707.6</v>
      </c>
      <c r="E73" s="243" t="s">
        <v>290</v>
      </c>
      <c r="F73" s="240">
        <f t="shared" si="11"/>
        <v>216279.11500000005</v>
      </c>
      <c r="G73" s="302"/>
      <c r="H73" s="302"/>
      <c r="I73" s="303"/>
      <c r="J73" s="302"/>
      <c r="K73" s="298"/>
      <c r="L73" s="278"/>
      <c r="M73" s="278"/>
      <c r="N73" s="278"/>
      <c r="O73" s="278"/>
      <c r="P73" s="278"/>
      <c r="Q73" s="278"/>
      <c r="R73" s="278"/>
      <c r="S73" s="278"/>
      <c r="T73" s="278"/>
      <c r="U73" s="304"/>
      <c r="V73" s="305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78"/>
      <c r="AU73" s="242">
        <f>SUM(C73)</f>
        <v>2707.6</v>
      </c>
      <c r="AV73" s="242"/>
      <c r="AW73" s="242"/>
      <c r="AX73" s="242"/>
      <c r="AY73" s="293"/>
      <c r="AZ73" s="304">
        <f t="shared" si="9"/>
        <v>0</v>
      </c>
    </row>
    <row r="74" spans="1:52" s="300" customFormat="1" ht="15.75" customHeight="1" x14ac:dyDescent="0.3">
      <c r="A74" s="290">
        <v>3</v>
      </c>
      <c r="B74" s="241" t="s">
        <v>148</v>
      </c>
      <c r="C74" s="242">
        <v>150</v>
      </c>
      <c r="D74" s="238">
        <f t="shared" si="10"/>
        <v>-150</v>
      </c>
      <c r="E74" s="243" t="s">
        <v>182</v>
      </c>
      <c r="F74" s="240">
        <f t="shared" si="11"/>
        <v>216129.11500000005</v>
      </c>
      <c r="G74" s="302"/>
      <c r="H74" s="302">
        <v>7950</v>
      </c>
      <c r="I74" s="303">
        <f t="shared" si="12"/>
        <v>150</v>
      </c>
      <c r="J74" s="302"/>
      <c r="K74" s="298"/>
      <c r="L74" s="278"/>
      <c r="M74" s="278"/>
      <c r="N74" s="278"/>
      <c r="O74" s="278"/>
      <c r="P74" s="278"/>
      <c r="Q74" s="278"/>
      <c r="R74" s="278"/>
      <c r="S74" s="278"/>
      <c r="T74" s="278"/>
      <c r="U74" s="304"/>
      <c r="V74" s="305"/>
      <c r="W74" s="242">
        <f>SUM(I74)</f>
        <v>150</v>
      </c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78"/>
      <c r="AU74" s="278"/>
      <c r="AV74" s="278"/>
      <c r="AW74" s="278"/>
      <c r="AX74" s="278"/>
      <c r="AY74" s="293"/>
      <c r="AZ74" s="304">
        <f t="shared" si="9"/>
        <v>0</v>
      </c>
    </row>
    <row r="75" spans="1:52" s="300" customFormat="1" ht="15.75" customHeight="1" x14ac:dyDescent="0.3">
      <c r="A75" s="290">
        <v>3</v>
      </c>
      <c r="B75" s="241" t="s">
        <v>146</v>
      </c>
      <c r="C75" s="242">
        <v>149.99</v>
      </c>
      <c r="D75" s="238">
        <f t="shared" si="10"/>
        <v>-149.99</v>
      </c>
      <c r="E75" s="243">
        <v>43918</v>
      </c>
      <c r="F75" s="240">
        <f t="shared" si="11"/>
        <v>215979.12500000006</v>
      </c>
      <c r="G75" s="302"/>
      <c r="H75" s="302">
        <v>7950</v>
      </c>
      <c r="I75" s="303">
        <f t="shared" si="12"/>
        <v>149.99</v>
      </c>
      <c r="J75" s="302"/>
      <c r="K75" s="298"/>
      <c r="L75" s="278"/>
      <c r="M75" s="278"/>
      <c r="N75" s="278"/>
      <c r="O75" s="278"/>
      <c r="P75" s="278"/>
      <c r="Q75" s="278"/>
      <c r="R75" s="278"/>
      <c r="S75" s="278"/>
      <c r="T75" s="278"/>
      <c r="U75" s="304"/>
      <c r="V75" s="305"/>
      <c r="W75" s="242">
        <f>SUM(I75)</f>
        <v>149.99</v>
      </c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78"/>
      <c r="AU75" s="278"/>
      <c r="AV75" s="278"/>
      <c r="AW75" s="278"/>
      <c r="AX75" s="278"/>
      <c r="AY75" s="293"/>
      <c r="AZ75" s="304">
        <f t="shared" si="9"/>
        <v>0</v>
      </c>
    </row>
    <row r="76" spans="1:52" s="300" customFormat="1" ht="15.75" customHeight="1" x14ac:dyDescent="0.3">
      <c r="A76" s="320">
        <v>3</v>
      </c>
      <c r="B76" s="250" t="s">
        <v>358</v>
      </c>
      <c r="C76" s="251">
        <v>71400</v>
      </c>
      <c r="D76" s="252">
        <f t="shared" si="10"/>
        <v>-71400</v>
      </c>
      <c r="E76" s="253">
        <v>43921</v>
      </c>
      <c r="F76" s="254">
        <f t="shared" si="11"/>
        <v>144579.12500000006</v>
      </c>
      <c r="G76" s="302"/>
      <c r="H76" s="302"/>
      <c r="I76" s="303"/>
      <c r="J76" s="302"/>
      <c r="K76" s="298"/>
      <c r="L76" s="278"/>
      <c r="M76" s="278"/>
      <c r="N76" s="278"/>
      <c r="O76" s="278"/>
      <c r="P76" s="278"/>
      <c r="Q76" s="278"/>
      <c r="R76" s="278"/>
      <c r="S76" s="278"/>
      <c r="T76" s="278"/>
      <c r="U76" s="304"/>
      <c r="V76" s="305"/>
      <c r="W76" s="242"/>
      <c r="X76" s="242">
        <f>SUM(C76)</f>
        <v>71400</v>
      </c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78"/>
      <c r="AU76" s="278"/>
      <c r="AV76" s="278"/>
      <c r="AW76" s="278"/>
      <c r="AX76" s="278"/>
      <c r="AY76" s="293"/>
      <c r="AZ76" s="304"/>
    </row>
    <row r="77" spans="1:52" s="300" customFormat="1" ht="15.75" customHeight="1" x14ac:dyDescent="0.3">
      <c r="A77" s="290">
        <v>3</v>
      </c>
      <c r="B77" s="241" t="s">
        <v>144</v>
      </c>
      <c r="C77" s="242">
        <v>300</v>
      </c>
      <c r="D77" s="238">
        <f t="shared" si="10"/>
        <v>-300</v>
      </c>
      <c r="E77" s="243" t="s">
        <v>181</v>
      </c>
      <c r="F77" s="240">
        <f t="shared" si="11"/>
        <v>144279.12500000006</v>
      </c>
      <c r="G77" s="302"/>
      <c r="H77" s="302">
        <v>7950</v>
      </c>
      <c r="I77" s="303">
        <f t="shared" si="12"/>
        <v>300</v>
      </c>
      <c r="J77" s="302"/>
      <c r="K77" s="298"/>
      <c r="L77" s="278"/>
      <c r="M77" s="278"/>
      <c r="N77" s="278"/>
      <c r="O77" s="278"/>
      <c r="P77" s="278"/>
      <c r="Q77" s="278"/>
      <c r="R77" s="278"/>
      <c r="S77" s="278"/>
      <c r="T77" s="278"/>
      <c r="U77" s="304"/>
      <c r="V77" s="305"/>
      <c r="W77" s="242">
        <f>SUM(I77)</f>
        <v>300</v>
      </c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78"/>
      <c r="AU77" s="278"/>
      <c r="AV77" s="278"/>
      <c r="AW77" s="278"/>
      <c r="AX77" s="278"/>
      <c r="AY77" s="293"/>
      <c r="AZ77" s="304">
        <f t="shared" si="9"/>
        <v>0</v>
      </c>
    </row>
    <row r="78" spans="1:52" s="300" customFormat="1" ht="15.75" customHeight="1" x14ac:dyDescent="0.3">
      <c r="A78" s="290">
        <v>3</v>
      </c>
      <c r="B78" s="244" t="s">
        <v>143</v>
      </c>
      <c r="C78" s="242">
        <v>75</v>
      </c>
      <c r="D78" s="238">
        <f t="shared" si="10"/>
        <v>-75</v>
      </c>
      <c r="E78" s="243" t="s">
        <v>181</v>
      </c>
      <c r="F78" s="240">
        <f t="shared" si="11"/>
        <v>144204.12500000006</v>
      </c>
      <c r="G78" s="302"/>
      <c r="H78" s="302">
        <v>7950</v>
      </c>
      <c r="I78" s="303">
        <f t="shared" si="12"/>
        <v>75</v>
      </c>
      <c r="J78" s="302"/>
      <c r="K78" s="298"/>
      <c r="L78" s="278"/>
      <c r="M78" s="278"/>
      <c r="N78" s="278"/>
      <c r="O78" s="278"/>
      <c r="P78" s="278"/>
      <c r="Q78" s="278"/>
      <c r="R78" s="278"/>
      <c r="S78" s="278"/>
      <c r="T78" s="278"/>
      <c r="U78" s="304"/>
      <c r="V78" s="305"/>
      <c r="W78" s="242">
        <f>SUM(I78)</f>
        <v>75</v>
      </c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78"/>
      <c r="AU78" s="278"/>
      <c r="AV78" s="278"/>
      <c r="AW78" s="278"/>
      <c r="AX78" s="278"/>
      <c r="AY78" s="293"/>
      <c r="AZ78" s="304">
        <f t="shared" si="9"/>
        <v>0</v>
      </c>
    </row>
    <row r="79" spans="1:52" s="300" customFormat="1" ht="15.75" customHeight="1" x14ac:dyDescent="0.3">
      <c r="A79" s="290">
        <v>3</v>
      </c>
      <c r="B79" s="241" t="s">
        <v>142</v>
      </c>
      <c r="C79" s="242">
        <v>2500</v>
      </c>
      <c r="D79" s="238">
        <f t="shared" si="10"/>
        <v>-2500</v>
      </c>
      <c r="E79" s="243">
        <v>43921</v>
      </c>
      <c r="F79" s="240">
        <f t="shared" si="11"/>
        <v>141704.12500000006</v>
      </c>
      <c r="G79" s="302"/>
      <c r="H79" s="302">
        <v>5710</v>
      </c>
      <c r="I79" s="303">
        <f t="shared" si="12"/>
        <v>2500</v>
      </c>
      <c r="J79" s="302"/>
      <c r="K79" s="298"/>
      <c r="L79" s="278"/>
      <c r="M79" s="278"/>
      <c r="N79" s="278"/>
      <c r="O79" s="278"/>
      <c r="P79" s="278"/>
      <c r="Q79" s="278"/>
      <c r="R79" s="278"/>
      <c r="S79" s="278"/>
      <c r="T79" s="278"/>
      <c r="U79" s="304"/>
      <c r="V79" s="305"/>
      <c r="W79" s="242"/>
      <c r="X79" s="242"/>
      <c r="Y79" s="278"/>
      <c r="Z79" s="242">
        <f>SUM(I79)</f>
        <v>2500</v>
      </c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78"/>
      <c r="AU79" s="278"/>
      <c r="AV79" s="278"/>
      <c r="AW79" s="278"/>
      <c r="AX79" s="278"/>
      <c r="AY79" s="293"/>
      <c r="AZ79" s="304">
        <f t="shared" si="9"/>
        <v>0</v>
      </c>
    </row>
    <row r="80" spans="1:52" s="300" customFormat="1" ht="15.75" customHeight="1" x14ac:dyDescent="0.3">
      <c r="A80" s="290">
        <v>3</v>
      </c>
      <c r="B80" s="241" t="s">
        <v>141</v>
      </c>
      <c r="C80" s="242">
        <v>1080</v>
      </c>
      <c r="D80" s="238">
        <f t="shared" si="10"/>
        <v>-1080</v>
      </c>
      <c r="E80" s="243">
        <v>43921</v>
      </c>
      <c r="F80" s="240">
        <f t="shared" si="11"/>
        <v>140624.12500000006</v>
      </c>
      <c r="G80" s="302"/>
      <c r="H80" s="302">
        <v>6730</v>
      </c>
      <c r="I80" s="303">
        <f t="shared" si="12"/>
        <v>1080</v>
      </c>
      <c r="J80" s="302"/>
      <c r="K80" s="298"/>
      <c r="L80" s="278"/>
      <c r="M80" s="278"/>
      <c r="N80" s="278"/>
      <c r="O80" s="278"/>
      <c r="P80" s="278"/>
      <c r="Q80" s="278"/>
      <c r="R80" s="278"/>
      <c r="S80" s="278"/>
      <c r="T80" s="278"/>
      <c r="U80" s="304"/>
      <c r="V80" s="305"/>
      <c r="W80" s="242"/>
      <c r="X80" s="242">
        <f>SUM(I80)</f>
        <v>1080</v>
      </c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78"/>
      <c r="AU80" s="278"/>
      <c r="AV80" s="278"/>
      <c r="AW80" s="278"/>
      <c r="AX80" s="278"/>
      <c r="AY80" s="293"/>
      <c r="AZ80" s="304">
        <f t="shared" si="9"/>
        <v>0</v>
      </c>
    </row>
    <row r="81" spans="1:52" s="300" customFormat="1" ht="15.75" customHeight="1" thickBot="1" x14ac:dyDescent="0.35">
      <c r="A81" s="320">
        <v>3</v>
      </c>
      <c r="B81" s="250" t="s">
        <v>178</v>
      </c>
      <c r="C81" s="251">
        <f>'MMWW Repayment Sch'!H17</f>
        <v>24882.35</v>
      </c>
      <c r="D81" s="252">
        <f t="shared" si="10"/>
        <v>-24882.35</v>
      </c>
      <c r="E81" s="253" t="s">
        <v>363</v>
      </c>
      <c r="F81" s="254">
        <f t="shared" si="11"/>
        <v>115741.77500000005</v>
      </c>
      <c r="G81" s="302"/>
      <c r="H81" s="302">
        <v>5130</v>
      </c>
      <c r="I81" s="303">
        <f t="shared" si="12"/>
        <v>24882.35</v>
      </c>
      <c r="J81" s="302"/>
      <c r="K81" s="298"/>
      <c r="L81" s="278"/>
      <c r="M81" s="278"/>
      <c r="N81" s="278"/>
      <c r="O81" s="278"/>
      <c r="P81" s="278"/>
      <c r="Q81" s="278"/>
      <c r="R81" s="278"/>
      <c r="S81" s="278"/>
      <c r="T81" s="278"/>
      <c r="U81" s="307"/>
      <c r="V81" s="308"/>
      <c r="W81" s="308"/>
      <c r="X81" s="308"/>
      <c r="Y81" s="308"/>
      <c r="Z81" s="308"/>
      <c r="AA81" s="308">
        <f>SUM(I81)</f>
        <v>24882.35</v>
      </c>
      <c r="AB81" s="308"/>
      <c r="AC81" s="308"/>
      <c r="AD81" s="308"/>
      <c r="AE81" s="308"/>
      <c r="AF81" s="308"/>
      <c r="AG81" s="308"/>
      <c r="AH81" s="308"/>
      <c r="AI81" s="308"/>
      <c r="AJ81" s="308"/>
      <c r="AK81" s="308"/>
      <c r="AL81" s="308"/>
      <c r="AM81" s="308"/>
      <c r="AN81" s="308"/>
      <c r="AO81" s="308"/>
      <c r="AP81" s="308"/>
      <c r="AQ81" s="308"/>
      <c r="AR81" s="308"/>
      <c r="AS81" s="308"/>
      <c r="AT81" s="309"/>
      <c r="AU81" s="309"/>
      <c r="AV81" s="309"/>
      <c r="AW81" s="309"/>
      <c r="AX81" s="309"/>
      <c r="AY81" s="309"/>
      <c r="AZ81" s="307">
        <f t="shared" si="9"/>
        <v>0</v>
      </c>
    </row>
    <row r="82" spans="1:52" s="300" customFormat="1" ht="15.75" customHeight="1" x14ac:dyDescent="0.3">
      <c r="A82" s="290"/>
      <c r="B82" s="241"/>
      <c r="C82" s="242"/>
      <c r="D82" s="238"/>
      <c r="E82" s="245" t="s">
        <v>284</v>
      </c>
      <c r="F82" s="240">
        <f t="shared" si="11"/>
        <v>115741.77500000005</v>
      </c>
      <c r="G82" s="302"/>
      <c r="H82" s="302"/>
      <c r="I82" s="303"/>
      <c r="J82" s="302"/>
      <c r="K82" s="298"/>
      <c r="L82" s="278"/>
      <c r="M82" s="278"/>
      <c r="N82" s="278"/>
      <c r="O82" s="278"/>
      <c r="P82" s="278"/>
      <c r="Q82" s="278"/>
      <c r="R82" s="278"/>
      <c r="S82" s="278"/>
      <c r="T82" s="278"/>
      <c r="U82" s="310">
        <f t="shared" ref="U82:AY82" si="13">SUM(U51:U81)</f>
        <v>294.95</v>
      </c>
      <c r="V82" s="311">
        <f t="shared" si="13"/>
        <v>708.65</v>
      </c>
      <c r="W82" s="311">
        <f t="shared" si="13"/>
        <v>779.72749999999996</v>
      </c>
      <c r="X82" s="311">
        <f t="shared" si="13"/>
        <v>72480</v>
      </c>
      <c r="Y82" s="311">
        <f t="shared" si="13"/>
        <v>778.6875</v>
      </c>
      <c r="Z82" s="311">
        <f t="shared" si="13"/>
        <v>2500</v>
      </c>
      <c r="AA82" s="311">
        <f t="shared" si="13"/>
        <v>25257.35</v>
      </c>
      <c r="AB82" s="311">
        <f t="shared" si="13"/>
        <v>7500</v>
      </c>
      <c r="AC82" s="311">
        <f t="shared" si="13"/>
        <v>2350</v>
      </c>
      <c r="AD82" s="311">
        <f t="shared" si="13"/>
        <v>1674</v>
      </c>
      <c r="AE82" s="311">
        <f t="shared" si="13"/>
        <v>8333</v>
      </c>
      <c r="AF82" s="311">
        <f t="shared" si="13"/>
        <v>150</v>
      </c>
      <c r="AG82" s="311">
        <f t="shared" si="13"/>
        <v>2020</v>
      </c>
      <c r="AH82" s="311">
        <f t="shared" si="13"/>
        <v>20000</v>
      </c>
      <c r="AI82" s="311">
        <f t="shared" si="13"/>
        <v>1500</v>
      </c>
      <c r="AJ82" s="311">
        <f t="shared" si="13"/>
        <v>3000</v>
      </c>
      <c r="AK82" s="311">
        <f t="shared" si="13"/>
        <v>250</v>
      </c>
      <c r="AL82" s="311">
        <f t="shared" si="13"/>
        <v>0</v>
      </c>
      <c r="AM82" s="311">
        <f t="shared" si="13"/>
        <v>200</v>
      </c>
      <c r="AN82" s="311">
        <f t="shared" si="13"/>
        <v>625</v>
      </c>
      <c r="AO82" s="311">
        <f t="shared" si="13"/>
        <v>0</v>
      </c>
      <c r="AP82" s="311">
        <f t="shared" si="13"/>
        <v>1833.35</v>
      </c>
      <c r="AQ82" s="311">
        <f t="shared" si="13"/>
        <v>111.1875</v>
      </c>
      <c r="AR82" s="311">
        <f t="shared" si="13"/>
        <v>63.75</v>
      </c>
      <c r="AS82" s="311">
        <f t="shared" si="13"/>
        <v>0</v>
      </c>
      <c r="AT82" s="311">
        <f t="shared" si="13"/>
        <v>0</v>
      </c>
      <c r="AU82" s="311">
        <f t="shared" si="13"/>
        <v>2707.6</v>
      </c>
      <c r="AV82" s="311">
        <f t="shared" si="13"/>
        <v>0</v>
      </c>
      <c r="AW82" s="311">
        <f t="shared" si="13"/>
        <v>4500</v>
      </c>
      <c r="AX82" s="311">
        <f t="shared" si="13"/>
        <v>5000</v>
      </c>
      <c r="AY82" s="311">
        <f t="shared" si="13"/>
        <v>1750</v>
      </c>
      <c r="AZ82" s="304"/>
    </row>
    <row r="83" spans="1:52" s="300" customFormat="1" ht="15.75" customHeight="1" x14ac:dyDescent="0.3">
      <c r="A83" s="397">
        <v>4</v>
      </c>
      <c r="B83" s="398" t="s">
        <v>388</v>
      </c>
      <c r="C83" s="399">
        <f>C51</f>
        <v>5000</v>
      </c>
      <c r="D83" s="400">
        <f t="shared" ref="D83" si="14">SUM(C83*-1)</f>
        <v>-5000</v>
      </c>
      <c r="E83" s="401" t="s">
        <v>390</v>
      </c>
      <c r="F83" s="402">
        <f t="shared" si="11"/>
        <v>110741.77500000005</v>
      </c>
      <c r="G83" s="302"/>
      <c r="H83" s="302"/>
      <c r="I83" s="303"/>
      <c r="J83" s="302"/>
      <c r="K83" s="298"/>
      <c r="L83" s="278"/>
      <c r="M83" s="278"/>
      <c r="N83" s="278"/>
      <c r="O83" s="278"/>
      <c r="P83" s="278"/>
      <c r="Q83" s="278"/>
      <c r="R83" s="278"/>
      <c r="S83" s="278"/>
      <c r="T83" s="278"/>
      <c r="U83" s="304"/>
      <c r="V83" s="305"/>
      <c r="W83" s="242"/>
      <c r="X83" s="242"/>
      <c r="Y83" s="242"/>
      <c r="Z83" s="242"/>
      <c r="AA83" s="242"/>
      <c r="AB83" s="242"/>
      <c r="AC83" s="242"/>
      <c r="AD83" s="242"/>
      <c r="AE83" s="242"/>
      <c r="AF83" s="242"/>
      <c r="AG83" s="242"/>
      <c r="AH83" s="242"/>
      <c r="AI83" s="242"/>
      <c r="AJ83" s="242"/>
      <c r="AK83" s="242"/>
      <c r="AL83" s="242"/>
      <c r="AM83" s="242"/>
      <c r="AN83" s="242"/>
      <c r="AO83" s="242"/>
      <c r="AP83" s="242"/>
      <c r="AQ83" s="242"/>
      <c r="AR83" s="242"/>
      <c r="AS83" s="242"/>
      <c r="AT83" s="278"/>
      <c r="AU83" s="278"/>
      <c r="AV83" s="278"/>
      <c r="AW83" s="278"/>
      <c r="AX83" s="242">
        <f>SUM(C83)</f>
        <v>5000</v>
      </c>
      <c r="AY83" s="293"/>
      <c r="AZ83" s="304"/>
    </row>
    <row r="84" spans="1:52" s="300" customFormat="1" ht="15.75" customHeight="1" x14ac:dyDescent="0.3">
      <c r="A84" s="290">
        <v>4</v>
      </c>
      <c r="B84" s="241" t="s">
        <v>177</v>
      </c>
      <c r="C84" s="242">
        <v>2000</v>
      </c>
      <c r="D84" s="238">
        <f t="shared" si="10"/>
        <v>-2000</v>
      </c>
      <c r="E84" s="243" t="s">
        <v>170</v>
      </c>
      <c r="F84" s="240">
        <f>SUM(F83+D84)</f>
        <v>108741.77500000005</v>
      </c>
      <c r="G84" s="302"/>
      <c r="H84" s="302"/>
      <c r="I84" s="303"/>
      <c r="J84" s="302"/>
      <c r="K84" s="298"/>
      <c r="L84" s="278"/>
      <c r="M84" s="278"/>
      <c r="N84" s="278"/>
      <c r="O84" s="278"/>
      <c r="P84" s="278"/>
      <c r="Q84" s="278"/>
      <c r="R84" s="278"/>
      <c r="S84" s="278"/>
      <c r="T84" s="278"/>
      <c r="U84" s="304"/>
      <c r="V84" s="305">
        <v>250</v>
      </c>
      <c r="W84" s="242"/>
      <c r="X84" s="242"/>
      <c r="Y84" s="242"/>
      <c r="Z84" s="242"/>
      <c r="AA84" s="242"/>
      <c r="AB84" s="242"/>
      <c r="AC84" s="242"/>
      <c r="AD84" s="242"/>
      <c r="AE84" s="242"/>
      <c r="AF84" s="242"/>
      <c r="AG84" s="242"/>
      <c r="AH84" s="242"/>
      <c r="AI84" s="242"/>
      <c r="AJ84" s="242"/>
      <c r="AK84" s="242"/>
      <c r="AL84" s="242"/>
      <c r="AM84" s="242"/>
      <c r="AN84" s="242"/>
      <c r="AO84" s="242"/>
      <c r="AP84" s="242"/>
      <c r="AQ84" s="242"/>
      <c r="AR84" s="242"/>
      <c r="AS84" s="242"/>
      <c r="AT84" s="278"/>
      <c r="AU84" s="278"/>
      <c r="AV84" s="278"/>
      <c r="AW84" s="278"/>
      <c r="AX84" s="278"/>
      <c r="AY84" s="305">
        <v>1750</v>
      </c>
      <c r="AZ84" s="304">
        <f t="shared" si="9"/>
        <v>0</v>
      </c>
    </row>
    <row r="85" spans="1:52" s="300" customFormat="1" ht="15.75" customHeight="1" x14ac:dyDescent="0.3">
      <c r="A85" s="290">
        <v>4</v>
      </c>
      <c r="B85" s="241" t="s">
        <v>176</v>
      </c>
      <c r="C85" s="242">
        <v>7500</v>
      </c>
      <c r="D85" s="238">
        <f t="shared" si="10"/>
        <v>-7500</v>
      </c>
      <c r="E85" s="243" t="s">
        <v>170</v>
      </c>
      <c r="F85" s="240">
        <f t="shared" si="11"/>
        <v>101241.77500000005</v>
      </c>
      <c r="G85" s="302"/>
      <c r="H85" s="302">
        <v>5510</v>
      </c>
      <c r="I85" s="303">
        <f>C85</f>
        <v>7500</v>
      </c>
      <c r="J85" s="302"/>
      <c r="K85" s="298"/>
      <c r="L85" s="278"/>
      <c r="M85" s="278"/>
      <c r="N85" s="278"/>
      <c r="O85" s="278"/>
      <c r="P85" s="278"/>
      <c r="Q85" s="278"/>
      <c r="R85" s="278"/>
      <c r="S85" s="278"/>
      <c r="T85" s="278"/>
      <c r="U85" s="304"/>
      <c r="V85" s="305"/>
      <c r="W85" s="242"/>
      <c r="X85" s="242"/>
      <c r="Y85" s="242"/>
      <c r="Z85" s="242"/>
      <c r="AA85" s="242"/>
      <c r="AB85" s="242">
        <f>SUM(I85)</f>
        <v>7500</v>
      </c>
      <c r="AC85" s="242"/>
      <c r="AD85" s="242"/>
      <c r="AE85" s="242"/>
      <c r="AF85" s="242"/>
      <c r="AG85" s="242"/>
      <c r="AH85" s="242"/>
      <c r="AI85" s="242"/>
      <c r="AJ85" s="242"/>
      <c r="AK85" s="242"/>
      <c r="AL85" s="242"/>
      <c r="AM85" s="242"/>
      <c r="AN85" s="242"/>
      <c r="AO85" s="242"/>
      <c r="AP85" s="242"/>
      <c r="AQ85" s="242"/>
      <c r="AR85" s="242"/>
      <c r="AS85" s="242"/>
      <c r="AT85" s="278"/>
      <c r="AU85" s="278"/>
      <c r="AV85" s="278"/>
      <c r="AW85" s="278"/>
      <c r="AX85" s="278"/>
      <c r="AY85" s="293"/>
      <c r="AZ85" s="304">
        <f t="shared" si="9"/>
        <v>0</v>
      </c>
    </row>
    <row r="86" spans="1:52" s="300" customFormat="1" ht="15.75" customHeight="1" x14ac:dyDescent="0.3">
      <c r="A86" s="290">
        <v>4</v>
      </c>
      <c r="B86" s="241" t="s">
        <v>175</v>
      </c>
      <c r="C86" s="242">
        <v>550</v>
      </c>
      <c r="D86" s="238">
        <f t="shared" si="10"/>
        <v>-550</v>
      </c>
      <c r="E86" s="243" t="s">
        <v>170</v>
      </c>
      <c r="F86" s="240">
        <f t="shared" si="11"/>
        <v>100691.77500000005</v>
      </c>
      <c r="G86" s="302"/>
      <c r="H86" s="302">
        <v>7650</v>
      </c>
      <c r="I86" s="303">
        <f>C86</f>
        <v>550</v>
      </c>
      <c r="J86" s="302"/>
      <c r="K86" s="298"/>
      <c r="L86" s="278"/>
      <c r="M86" s="278"/>
      <c r="N86" s="278"/>
      <c r="O86" s="278"/>
      <c r="P86" s="278"/>
      <c r="Q86" s="278"/>
      <c r="R86" s="278"/>
      <c r="S86" s="278"/>
      <c r="T86" s="278"/>
      <c r="U86" s="304"/>
      <c r="V86" s="305"/>
      <c r="W86" s="242"/>
      <c r="X86" s="242"/>
      <c r="Y86" s="242"/>
      <c r="Z86" s="242"/>
      <c r="AA86" s="242"/>
      <c r="AB86" s="242"/>
      <c r="AC86" s="242">
        <f>SUM(I86)</f>
        <v>550</v>
      </c>
      <c r="AD86" s="242"/>
      <c r="AE86" s="242"/>
      <c r="AF86" s="242"/>
      <c r="AG86" s="242"/>
      <c r="AH86" s="242"/>
      <c r="AI86" s="242"/>
      <c r="AJ86" s="242"/>
      <c r="AK86" s="242"/>
      <c r="AL86" s="242"/>
      <c r="AM86" s="242"/>
      <c r="AN86" s="242"/>
      <c r="AO86" s="242"/>
      <c r="AP86" s="242"/>
      <c r="AQ86" s="242"/>
      <c r="AR86" s="242"/>
      <c r="AS86" s="242"/>
      <c r="AT86" s="278"/>
      <c r="AU86" s="278"/>
      <c r="AV86" s="278"/>
      <c r="AW86" s="278"/>
      <c r="AX86" s="278"/>
      <c r="AY86" s="293"/>
      <c r="AZ86" s="304">
        <f t="shared" si="9"/>
        <v>0</v>
      </c>
    </row>
    <row r="87" spans="1:52" s="300" customFormat="1" ht="15.75" customHeight="1" x14ac:dyDescent="0.3">
      <c r="A87" s="290">
        <v>4</v>
      </c>
      <c r="B87" s="241" t="s">
        <v>174</v>
      </c>
      <c r="C87" s="242">
        <v>1800</v>
      </c>
      <c r="D87" s="238">
        <f t="shared" si="10"/>
        <v>-1800</v>
      </c>
      <c r="E87" s="243" t="s">
        <v>173</v>
      </c>
      <c r="F87" s="240">
        <f t="shared" si="11"/>
        <v>98891.775000000052</v>
      </c>
      <c r="G87" s="302"/>
      <c r="H87" s="302">
        <v>7650</v>
      </c>
      <c r="I87" s="303">
        <f>C87</f>
        <v>1800</v>
      </c>
      <c r="J87" s="302"/>
      <c r="K87" s="298"/>
      <c r="L87" s="278"/>
      <c r="M87" s="278"/>
      <c r="N87" s="278"/>
      <c r="O87" s="278"/>
      <c r="P87" s="278"/>
      <c r="Q87" s="278"/>
      <c r="R87" s="278"/>
      <c r="S87" s="278"/>
      <c r="T87" s="278"/>
      <c r="U87" s="304"/>
      <c r="V87" s="305"/>
      <c r="W87" s="242"/>
      <c r="X87" s="242"/>
      <c r="Y87" s="242"/>
      <c r="Z87" s="242"/>
      <c r="AA87" s="242"/>
      <c r="AB87" s="242"/>
      <c r="AC87" s="242">
        <f>SUM(I87)</f>
        <v>1800</v>
      </c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  <c r="AR87" s="242"/>
      <c r="AS87" s="242"/>
      <c r="AT87" s="278"/>
      <c r="AU87" s="278"/>
      <c r="AV87" s="278"/>
      <c r="AW87" s="278"/>
      <c r="AX87" s="278"/>
      <c r="AY87" s="293"/>
      <c r="AZ87" s="304">
        <f t="shared" si="9"/>
        <v>0</v>
      </c>
    </row>
    <row r="88" spans="1:52" s="300" customFormat="1" ht="15.75" customHeight="1" x14ac:dyDescent="0.3">
      <c r="A88" s="290">
        <v>4</v>
      </c>
      <c r="B88" s="241" t="s">
        <v>172</v>
      </c>
      <c r="C88" s="242">
        <v>9917</v>
      </c>
      <c r="D88" s="238">
        <f t="shared" si="10"/>
        <v>-9917</v>
      </c>
      <c r="E88" s="243" t="s">
        <v>170</v>
      </c>
      <c r="F88" s="240">
        <f t="shared" si="11"/>
        <v>88974.775000000052</v>
      </c>
      <c r="G88" s="302"/>
      <c r="H88" s="302">
        <v>5750</v>
      </c>
      <c r="I88" s="313">
        <v>1584</v>
      </c>
      <c r="J88" s="302">
        <v>5520</v>
      </c>
      <c r="K88" s="298">
        <v>8333</v>
      </c>
      <c r="L88" s="278"/>
      <c r="M88" s="278"/>
      <c r="N88" s="278"/>
      <c r="O88" s="278"/>
      <c r="P88" s="278"/>
      <c r="Q88" s="278"/>
      <c r="R88" s="278"/>
      <c r="S88" s="278"/>
      <c r="T88" s="278"/>
      <c r="U88" s="304"/>
      <c r="V88" s="305"/>
      <c r="W88" s="242"/>
      <c r="X88" s="242"/>
      <c r="Y88" s="242"/>
      <c r="Z88" s="242"/>
      <c r="AA88" s="242"/>
      <c r="AB88" s="242"/>
      <c r="AC88" s="242"/>
      <c r="AD88" s="242">
        <f>SUM(I88)</f>
        <v>1584</v>
      </c>
      <c r="AE88" s="242">
        <f>SUM(K88)</f>
        <v>8333</v>
      </c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  <c r="AR88" s="242"/>
      <c r="AS88" s="242"/>
      <c r="AT88" s="278"/>
      <c r="AU88" s="278"/>
      <c r="AV88" s="278"/>
      <c r="AW88" s="278"/>
      <c r="AX88" s="278"/>
      <c r="AY88" s="293"/>
      <c r="AZ88" s="304">
        <f t="shared" si="9"/>
        <v>0</v>
      </c>
    </row>
    <row r="89" spans="1:52" s="300" customFormat="1" ht="15.75" customHeight="1" x14ac:dyDescent="0.3">
      <c r="A89" s="290">
        <v>4</v>
      </c>
      <c r="B89" s="241" t="s">
        <v>171</v>
      </c>
      <c r="C89" s="242">
        <v>34.950000000000003</v>
      </c>
      <c r="D89" s="238">
        <f t="shared" si="10"/>
        <v>-34.950000000000003</v>
      </c>
      <c r="E89" s="243" t="s">
        <v>170</v>
      </c>
      <c r="F89" s="240">
        <f t="shared" si="11"/>
        <v>88939.825000000055</v>
      </c>
      <c r="G89" s="302"/>
      <c r="H89" s="302">
        <v>7850</v>
      </c>
      <c r="I89" s="303">
        <f>C89</f>
        <v>34.950000000000003</v>
      </c>
      <c r="J89" s="302"/>
      <c r="K89" s="298"/>
      <c r="L89" s="278"/>
      <c r="M89" s="278"/>
      <c r="N89" s="278"/>
      <c r="O89" s="278"/>
      <c r="P89" s="278"/>
      <c r="Q89" s="278"/>
      <c r="R89" s="278"/>
      <c r="S89" s="278"/>
      <c r="T89" s="278"/>
      <c r="U89" s="304">
        <f>SUM(I89)</f>
        <v>34.950000000000003</v>
      </c>
      <c r="V89" s="305"/>
      <c r="W89" s="242"/>
      <c r="X89" s="242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  <c r="AR89" s="242"/>
      <c r="AS89" s="242"/>
      <c r="AT89" s="278"/>
      <c r="AU89" s="278"/>
      <c r="AV89" s="278"/>
      <c r="AW89" s="278"/>
      <c r="AX89" s="278"/>
      <c r="AY89" s="293"/>
      <c r="AZ89" s="304">
        <f t="shared" si="9"/>
        <v>0</v>
      </c>
    </row>
    <row r="90" spans="1:52" s="300" customFormat="1" ht="15.75" customHeight="1" x14ac:dyDescent="0.3">
      <c r="A90" s="290">
        <v>4</v>
      </c>
      <c r="B90" s="241" t="s">
        <v>169</v>
      </c>
      <c r="C90" s="242">
        <v>150</v>
      </c>
      <c r="D90" s="238">
        <f t="shared" si="10"/>
        <v>-150</v>
      </c>
      <c r="E90" s="243" t="s">
        <v>168</v>
      </c>
      <c r="F90" s="240">
        <f t="shared" si="11"/>
        <v>88789.825000000055</v>
      </c>
      <c r="G90" s="302"/>
      <c r="H90" s="302">
        <v>7090</v>
      </c>
      <c r="I90" s="303">
        <f>C90</f>
        <v>150</v>
      </c>
      <c r="J90" s="302"/>
      <c r="K90" s="298"/>
      <c r="L90" s="278"/>
      <c r="M90" s="278"/>
      <c r="N90" s="278"/>
      <c r="O90" s="278"/>
      <c r="P90" s="278"/>
      <c r="Q90" s="278"/>
      <c r="R90" s="278"/>
      <c r="S90" s="278"/>
      <c r="T90" s="278"/>
      <c r="U90" s="304"/>
      <c r="V90" s="305"/>
      <c r="W90" s="242"/>
      <c r="X90" s="242"/>
      <c r="Y90" s="242"/>
      <c r="Z90" s="242"/>
      <c r="AA90" s="242"/>
      <c r="AB90" s="242"/>
      <c r="AC90" s="242"/>
      <c r="AD90" s="242"/>
      <c r="AE90" s="242"/>
      <c r="AF90" s="242">
        <f>SUM(I90)</f>
        <v>150</v>
      </c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  <c r="AR90" s="242"/>
      <c r="AS90" s="242"/>
      <c r="AT90" s="278"/>
      <c r="AU90" s="278"/>
      <c r="AV90" s="278"/>
      <c r="AW90" s="278"/>
      <c r="AX90" s="278"/>
      <c r="AY90" s="293"/>
      <c r="AZ90" s="304">
        <f t="shared" si="9"/>
        <v>0</v>
      </c>
    </row>
    <row r="91" spans="1:52" s="300" customFormat="1" ht="15.75" customHeight="1" x14ac:dyDescent="0.3">
      <c r="A91" s="290">
        <v>4</v>
      </c>
      <c r="B91" s="241" t="s">
        <v>155</v>
      </c>
      <c r="C91" s="242">
        <v>13385</v>
      </c>
      <c r="D91" s="238">
        <v>-13385</v>
      </c>
      <c r="E91" s="243">
        <v>43895</v>
      </c>
      <c r="F91" s="240">
        <f t="shared" si="11"/>
        <v>75404.825000000055</v>
      </c>
      <c r="G91" s="302"/>
      <c r="H91" s="302">
        <v>8570</v>
      </c>
      <c r="I91" s="313">
        <v>1010</v>
      </c>
      <c r="J91" s="302" t="s">
        <v>207</v>
      </c>
      <c r="K91" s="298" t="s">
        <v>207</v>
      </c>
      <c r="L91" s="278">
        <v>8510</v>
      </c>
      <c r="M91" s="298">
        <v>10000</v>
      </c>
      <c r="N91" s="314">
        <v>8520</v>
      </c>
      <c r="O91" s="298">
        <v>750</v>
      </c>
      <c r="P91" s="314">
        <v>8530</v>
      </c>
      <c r="Q91" s="315">
        <v>1500</v>
      </c>
      <c r="R91" s="314">
        <v>8590</v>
      </c>
      <c r="S91" s="298">
        <v>125</v>
      </c>
      <c r="T91" s="316">
        <v>13385</v>
      </c>
      <c r="U91" s="304"/>
      <c r="V91" s="305"/>
      <c r="W91" s="242"/>
      <c r="X91" s="242"/>
      <c r="Y91" s="242"/>
      <c r="Z91" s="242"/>
      <c r="AA91" s="242"/>
      <c r="AB91" s="242"/>
      <c r="AC91" s="242"/>
      <c r="AD91" s="242"/>
      <c r="AE91" s="242"/>
      <c r="AF91" s="242"/>
      <c r="AG91" s="242">
        <v>1010</v>
      </c>
      <c r="AH91" s="242">
        <v>10000</v>
      </c>
      <c r="AI91" s="242">
        <v>750</v>
      </c>
      <c r="AJ91" s="242">
        <v>1500</v>
      </c>
      <c r="AK91" s="242">
        <v>125</v>
      </c>
      <c r="AL91" s="242"/>
      <c r="AM91" s="242"/>
      <c r="AN91" s="242"/>
      <c r="AO91" s="242"/>
      <c r="AP91" s="242"/>
      <c r="AQ91" s="242"/>
      <c r="AR91" s="242"/>
      <c r="AS91" s="242"/>
      <c r="AT91" s="278"/>
      <c r="AU91" s="278"/>
      <c r="AV91" s="278"/>
      <c r="AW91" s="278"/>
      <c r="AX91" s="278"/>
      <c r="AY91" s="293"/>
      <c r="AZ91" s="304">
        <v>0</v>
      </c>
    </row>
    <row r="92" spans="1:52" s="300" customFormat="1" ht="15.75" customHeight="1" x14ac:dyDescent="0.3">
      <c r="A92" s="290">
        <v>4</v>
      </c>
      <c r="B92" s="241" t="s">
        <v>153</v>
      </c>
      <c r="C92" s="242">
        <v>100</v>
      </c>
      <c r="D92" s="238">
        <f t="shared" si="10"/>
        <v>-100</v>
      </c>
      <c r="E92" s="243" t="s">
        <v>166</v>
      </c>
      <c r="F92" s="240">
        <f t="shared" si="11"/>
        <v>75304.825000000055</v>
      </c>
      <c r="G92" s="302"/>
      <c r="H92" s="302">
        <v>7850</v>
      </c>
      <c r="I92" s="303">
        <f t="shared" ref="I92:I97" si="15">C92</f>
        <v>100</v>
      </c>
      <c r="J92" s="302"/>
      <c r="K92" s="298"/>
      <c r="L92" s="278"/>
      <c r="M92" s="278"/>
      <c r="N92" s="278"/>
      <c r="O92" s="278"/>
      <c r="P92" s="278"/>
      <c r="Q92" s="278"/>
      <c r="R92" s="278"/>
      <c r="S92" s="278"/>
      <c r="T92" s="278"/>
      <c r="U92" s="304">
        <f>SUM(I92)</f>
        <v>100</v>
      </c>
      <c r="V92" s="305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  <c r="AR92" s="242"/>
      <c r="AS92" s="242"/>
      <c r="AT92" s="278"/>
      <c r="AU92" s="278"/>
      <c r="AV92" s="278"/>
      <c r="AW92" s="278"/>
      <c r="AX92" s="278"/>
      <c r="AY92" s="293"/>
      <c r="AZ92" s="304">
        <f t="shared" si="9"/>
        <v>0</v>
      </c>
    </row>
    <row r="93" spans="1:52" s="300" customFormat="1" ht="15.75" customHeight="1" x14ac:dyDescent="0.3">
      <c r="A93" s="290">
        <v>4</v>
      </c>
      <c r="B93" s="241" t="s">
        <v>165</v>
      </c>
      <c r="C93" s="242">
        <v>200</v>
      </c>
      <c r="D93" s="238">
        <f t="shared" si="10"/>
        <v>-200</v>
      </c>
      <c r="E93" s="243" t="s">
        <v>161</v>
      </c>
      <c r="F93" s="240">
        <f t="shared" si="11"/>
        <v>75104.825000000055</v>
      </c>
      <c r="G93" s="302"/>
      <c r="H93" s="302">
        <v>6770</v>
      </c>
      <c r="I93" s="303">
        <f t="shared" si="15"/>
        <v>200</v>
      </c>
      <c r="J93" s="302"/>
      <c r="K93" s="298"/>
      <c r="L93" s="278"/>
      <c r="M93" s="278"/>
      <c r="N93" s="278"/>
      <c r="O93" s="278"/>
      <c r="P93" s="278"/>
      <c r="Q93" s="278"/>
      <c r="R93" s="278"/>
      <c r="S93" s="278"/>
      <c r="T93" s="278"/>
      <c r="U93" s="304"/>
      <c r="V93" s="305"/>
      <c r="W93" s="242"/>
      <c r="X93" s="242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>
        <f>SUM(I93)</f>
        <v>200</v>
      </c>
      <c r="AN93" s="242"/>
      <c r="AO93" s="242"/>
      <c r="AP93" s="242"/>
      <c r="AQ93" s="242"/>
      <c r="AR93" s="242"/>
      <c r="AS93" s="242"/>
      <c r="AT93" s="278"/>
      <c r="AU93" s="278"/>
      <c r="AV93" s="278"/>
      <c r="AW93" s="278"/>
      <c r="AX93" s="278"/>
      <c r="AY93" s="293"/>
      <c r="AZ93" s="304">
        <f t="shared" si="9"/>
        <v>0</v>
      </c>
    </row>
    <row r="94" spans="1:52" s="300" customFormat="1" ht="15.75" customHeight="1" x14ac:dyDescent="0.3">
      <c r="A94" s="290">
        <v>4</v>
      </c>
      <c r="B94" s="244" t="s">
        <v>164</v>
      </c>
      <c r="C94" s="242">
        <v>625</v>
      </c>
      <c r="D94" s="238">
        <f t="shared" si="10"/>
        <v>-625</v>
      </c>
      <c r="E94" s="243" t="s">
        <v>163</v>
      </c>
      <c r="F94" s="240">
        <f t="shared" si="11"/>
        <v>74479.825000000055</v>
      </c>
      <c r="G94" s="302"/>
      <c r="H94" s="302">
        <v>5540</v>
      </c>
      <c r="I94" s="303">
        <f t="shared" si="15"/>
        <v>625</v>
      </c>
      <c r="J94" s="302"/>
      <c r="K94" s="298"/>
      <c r="L94" s="278"/>
      <c r="M94" s="278"/>
      <c r="N94" s="278"/>
      <c r="O94" s="278"/>
      <c r="P94" s="278"/>
      <c r="Q94" s="278"/>
      <c r="R94" s="278"/>
      <c r="S94" s="278"/>
      <c r="T94" s="278"/>
      <c r="U94" s="304"/>
      <c r="V94" s="305"/>
      <c r="W94" s="242"/>
      <c r="X94" s="242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>
        <f>SUM(I94)</f>
        <v>625</v>
      </c>
      <c r="AO94" s="242"/>
      <c r="AP94" s="242"/>
      <c r="AQ94" s="242"/>
      <c r="AR94" s="242"/>
      <c r="AS94" s="242"/>
      <c r="AT94" s="278"/>
      <c r="AU94" s="278"/>
      <c r="AV94" s="278"/>
      <c r="AW94" s="278"/>
      <c r="AX94" s="278"/>
      <c r="AY94" s="293"/>
      <c r="AZ94" s="304">
        <f t="shared" si="9"/>
        <v>0</v>
      </c>
    </row>
    <row r="95" spans="1:52" s="300" customFormat="1" ht="15.75" customHeight="1" x14ac:dyDescent="0.3">
      <c r="A95" s="290">
        <v>4</v>
      </c>
      <c r="B95" s="241" t="s">
        <v>162</v>
      </c>
      <c r="C95" s="242">
        <v>60</v>
      </c>
      <c r="D95" s="238">
        <f t="shared" si="10"/>
        <v>-60</v>
      </c>
      <c r="E95" s="243" t="s">
        <v>161</v>
      </c>
      <c r="F95" s="240">
        <f t="shared" si="11"/>
        <v>74419.825000000055</v>
      </c>
      <c r="G95" s="302"/>
      <c r="H95" s="302">
        <v>7850</v>
      </c>
      <c r="I95" s="303">
        <f t="shared" si="15"/>
        <v>60</v>
      </c>
      <c r="J95" s="302"/>
      <c r="K95" s="298"/>
      <c r="L95" s="278"/>
      <c r="M95" s="278"/>
      <c r="N95" s="278"/>
      <c r="O95" s="278"/>
      <c r="P95" s="278"/>
      <c r="Q95" s="278"/>
      <c r="R95" s="278"/>
      <c r="S95" s="278"/>
      <c r="T95" s="278"/>
      <c r="U95" s="304">
        <f>SUM(I95)</f>
        <v>60</v>
      </c>
      <c r="V95" s="305"/>
      <c r="W95" s="242"/>
      <c r="X95" s="242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  <c r="AR95" s="242"/>
      <c r="AS95" s="242"/>
      <c r="AT95" s="278"/>
      <c r="AU95" s="278"/>
      <c r="AV95" s="278"/>
      <c r="AW95" s="278"/>
      <c r="AX95" s="278"/>
      <c r="AY95" s="293"/>
      <c r="AZ95" s="304">
        <f t="shared" si="9"/>
        <v>0</v>
      </c>
    </row>
    <row r="96" spans="1:52" s="300" customFormat="1" ht="15.75" customHeight="1" x14ac:dyDescent="0.3">
      <c r="A96" s="290">
        <v>4</v>
      </c>
      <c r="B96" s="244" t="s">
        <v>160</v>
      </c>
      <c r="C96" s="237">
        <v>1833.35</v>
      </c>
      <c r="D96" s="238">
        <f t="shared" si="10"/>
        <v>-1833.35</v>
      </c>
      <c r="E96" s="243" t="s">
        <v>159</v>
      </c>
      <c r="F96" s="240">
        <f t="shared" si="11"/>
        <v>72586.475000000049</v>
      </c>
      <c r="G96" s="306"/>
      <c r="H96" s="302">
        <v>6590</v>
      </c>
      <c r="I96" s="303">
        <f t="shared" si="15"/>
        <v>1833.35</v>
      </c>
      <c r="J96" s="302"/>
      <c r="K96" s="298"/>
      <c r="L96" s="278"/>
      <c r="M96" s="278"/>
      <c r="N96" s="278"/>
      <c r="O96" s="278"/>
      <c r="P96" s="278"/>
      <c r="Q96" s="278"/>
      <c r="R96" s="278"/>
      <c r="S96" s="278"/>
      <c r="T96" s="278"/>
      <c r="U96" s="304"/>
      <c r="V96" s="305"/>
      <c r="W96" s="242"/>
      <c r="X96" s="242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78"/>
      <c r="AP96" s="242">
        <f>SUM(I96)</f>
        <v>1833.35</v>
      </c>
      <c r="AQ96" s="242"/>
      <c r="AR96" s="242"/>
      <c r="AS96" s="242"/>
      <c r="AT96" s="278"/>
      <c r="AU96" s="278"/>
      <c r="AV96" s="278"/>
      <c r="AW96" s="278"/>
      <c r="AX96" s="278"/>
      <c r="AY96" s="293"/>
      <c r="AZ96" s="304">
        <f t="shared" si="9"/>
        <v>0</v>
      </c>
    </row>
    <row r="97" spans="1:52" s="300" customFormat="1" ht="15.75" customHeight="1" x14ac:dyDescent="0.3">
      <c r="A97" s="290">
        <v>4</v>
      </c>
      <c r="B97" s="244" t="s">
        <v>369</v>
      </c>
      <c r="C97" s="237">
        <v>1500</v>
      </c>
      <c r="D97" s="238">
        <f t="shared" si="10"/>
        <v>-1500</v>
      </c>
      <c r="E97" s="243">
        <v>43939</v>
      </c>
      <c r="F97" s="240">
        <f t="shared" si="11"/>
        <v>71086.475000000049</v>
      </c>
      <c r="G97" s="306"/>
      <c r="H97" s="302"/>
      <c r="I97" s="303">
        <f t="shared" si="15"/>
        <v>1500</v>
      </c>
      <c r="J97" s="302"/>
      <c r="K97" s="298"/>
      <c r="L97" s="278"/>
      <c r="M97" s="278"/>
      <c r="N97" s="278"/>
      <c r="O97" s="278"/>
      <c r="P97" s="278"/>
      <c r="Q97" s="278"/>
      <c r="R97" s="278"/>
      <c r="S97" s="278"/>
      <c r="T97" s="278"/>
      <c r="U97" s="304"/>
      <c r="V97" s="305"/>
      <c r="W97" s="242"/>
      <c r="X97" s="242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78"/>
      <c r="AP97" s="242"/>
      <c r="AQ97" s="242"/>
      <c r="AR97" s="242"/>
      <c r="AS97" s="242"/>
      <c r="AT97" s="278"/>
      <c r="AU97" s="278"/>
      <c r="AV97" s="278"/>
      <c r="AW97" s="278"/>
      <c r="AX97" s="278"/>
      <c r="AY97" s="305">
        <v>1500</v>
      </c>
      <c r="AZ97" s="304">
        <f t="shared" si="9"/>
        <v>0</v>
      </c>
    </row>
    <row r="98" spans="1:52" s="300" customFormat="1" ht="15.75" customHeight="1" x14ac:dyDescent="0.3">
      <c r="A98" s="290">
        <v>4</v>
      </c>
      <c r="B98" s="241" t="s">
        <v>155</v>
      </c>
      <c r="C98" s="242">
        <v>13385</v>
      </c>
      <c r="D98" s="238">
        <v>-13385</v>
      </c>
      <c r="E98" s="243">
        <v>43895</v>
      </c>
      <c r="F98" s="240">
        <f t="shared" si="11"/>
        <v>57701.475000000049</v>
      </c>
      <c r="G98" s="302"/>
      <c r="H98" s="302">
        <v>8570</v>
      </c>
      <c r="I98" s="313">
        <v>1010</v>
      </c>
      <c r="J98" s="302" t="s">
        <v>207</v>
      </c>
      <c r="K98" s="298" t="s">
        <v>207</v>
      </c>
      <c r="L98" s="278">
        <v>8510</v>
      </c>
      <c r="M98" s="298">
        <v>10000</v>
      </c>
      <c r="N98" s="314">
        <v>8520</v>
      </c>
      <c r="O98" s="298">
        <v>750</v>
      </c>
      <c r="P98" s="314">
        <v>8530</v>
      </c>
      <c r="Q98" s="315">
        <v>1500</v>
      </c>
      <c r="R98" s="314">
        <v>8590</v>
      </c>
      <c r="S98" s="298">
        <v>125</v>
      </c>
      <c r="T98" s="316">
        <v>13385</v>
      </c>
      <c r="U98" s="304"/>
      <c r="V98" s="305"/>
      <c r="W98" s="242"/>
      <c r="X98" s="242"/>
      <c r="Y98" s="242"/>
      <c r="Z98" s="242"/>
      <c r="AA98" s="242"/>
      <c r="AB98" s="242"/>
      <c r="AC98" s="242"/>
      <c r="AD98" s="242"/>
      <c r="AE98" s="242"/>
      <c r="AF98" s="242"/>
      <c r="AG98" s="242">
        <v>1010</v>
      </c>
      <c r="AH98" s="242">
        <v>10000</v>
      </c>
      <c r="AI98" s="242">
        <v>750</v>
      </c>
      <c r="AJ98" s="242">
        <v>1500</v>
      </c>
      <c r="AK98" s="242">
        <v>125</v>
      </c>
      <c r="AL98" s="242"/>
      <c r="AM98" s="242"/>
      <c r="AN98" s="242"/>
      <c r="AO98" s="242"/>
      <c r="AP98" s="242"/>
      <c r="AQ98" s="242"/>
      <c r="AR98" s="242"/>
      <c r="AS98" s="242"/>
      <c r="AT98" s="278"/>
      <c r="AU98" s="278"/>
      <c r="AV98" s="278"/>
      <c r="AW98" s="278"/>
      <c r="AX98" s="278"/>
      <c r="AY98" s="293"/>
      <c r="AZ98" s="304">
        <v>0</v>
      </c>
    </row>
    <row r="99" spans="1:52" s="300" customFormat="1" ht="15.75" customHeight="1" x14ac:dyDescent="0.3">
      <c r="A99" s="290">
        <v>4</v>
      </c>
      <c r="B99" s="241" t="s">
        <v>153</v>
      </c>
      <c r="C99" s="242">
        <v>100</v>
      </c>
      <c r="D99" s="238">
        <f t="shared" si="10"/>
        <v>-100</v>
      </c>
      <c r="E99" s="243" t="s">
        <v>152</v>
      </c>
      <c r="F99" s="240">
        <f t="shared" si="11"/>
        <v>57601.475000000049</v>
      </c>
      <c r="G99" s="302"/>
      <c r="H99" s="302">
        <v>7850</v>
      </c>
      <c r="I99" s="303">
        <f>C99</f>
        <v>100</v>
      </c>
      <c r="J99" s="302"/>
      <c r="K99" s="298"/>
      <c r="L99" s="278"/>
      <c r="M99" s="278"/>
      <c r="N99" s="278"/>
      <c r="O99" s="278"/>
      <c r="P99" s="278"/>
      <c r="Q99" s="278"/>
      <c r="R99" s="278"/>
      <c r="S99" s="278"/>
      <c r="T99" s="278"/>
      <c r="U99" s="304">
        <f>SUM(I99)</f>
        <v>100</v>
      </c>
      <c r="V99" s="305"/>
      <c r="W99" s="242"/>
      <c r="X99" s="242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  <c r="AR99" s="242"/>
      <c r="AS99" s="242"/>
      <c r="AT99" s="278"/>
      <c r="AU99" s="278"/>
      <c r="AV99" s="278"/>
      <c r="AW99" s="278"/>
      <c r="AX99" s="278"/>
      <c r="AY99" s="293"/>
      <c r="AZ99" s="304">
        <f t="shared" si="9"/>
        <v>0</v>
      </c>
    </row>
    <row r="100" spans="1:52" s="300" customFormat="1" ht="15.75" customHeight="1" x14ac:dyDescent="0.3">
      <c r="A100" s="290">
        <v>4</v>
      </c>
      <c r="B100" s="244" t="s">
        <v>266</v>
      </c>
      <c r="C100" s="242">
        <f>SUM('CCD - Mnthly Bills'!C20)</f>
        <v>1523.3625000000002</v>
      </c>
      <c r="D100" s="238">
        <f t="shared" si="10"/>
        <v>-1523.3625000000002</v>
      </c>
      <c r="E100" s="243" t="s">
        <v>151</v>
      </c>
      <c r="F100" s="240">
        <f t="shared" si="11"/>
        <v>56078.112500000047</v>
      </c>
      <c r="G100" s="302"/>
      <c r="H100" s="589" t="s">
        <v>264</v>
      </c>
      <c r="I100" s="589"/>
      <c r="J100" s="302"/>
      <c r="K100" s="298"/>
      <c r="L100" s="278"/>
      <c r="M100" s="278"/>
      <c r="N100" s="278"/>
      <c r="O100" s="278"/>
      <c r="P100" s="278"/>
      <c r="Q100" s="278"/>
      <c r="R100" s="278"/>
      <c r="S100" s="278"/>
      <c r="T100" s="278"/>
      <c r="U100" s="304"/>
      <c r="V100" s="305"/>
      <c r="W100" s="242">
        <f>SUM(W71)</f>
        <v>104.73750000000001</v>
      </c>
      <c r="X100" s="242"/>
      <c r="Y100" s="242">
        <f>SUM(Y71)</f>
        <v>778.6875</v>
      </c>
      <c r="Z100" s="242"/>
      <c r="AA100" s="242">
        <f>SUM(AA71)</f>
        <v>375</v>
      </c>
      <c r="AB100" s="242"/>
      <c r="AC100" s="242"/>
      <c r="AD100" s="242">
        <f>SUM(AD71)</f>
        <v>90</v>
      </c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>
        <f>SUM(AQ71)</f>
        <v>111.1875</v>
      </c>
      <c r="AR100" s="242">
        <f>SUM(AR71)</f>
        <v>63.75</v>
      </c>
      <c r="AS100" s="242"/>
      <c r="AT100" s="278"/>
      <c r="AU100" s="278"/>
      <c r="AV100" s="278"/>
      <c r="AW100" s="278"/>
      <c r="AX100" s="278"/>
      <c r="AY100" s="293"/>
      <c r="AZ100" s="304">
        <f t="shared" si="9"/>
        <v>0</v>
      </c>
    </row>
    <row r="101" spans="1:52" s="300" customFormat="1" ht="15.75" customHeight="1" x14ac:dyDescent="0.3">
      <c r="A101" s="290">
        <v>4</v>
      </c>
      <c r="B101" s="241" t="s">
        <v>150</v>
      </c>
      <c r="C101" s="242">
        <v>458.65</v>
      </c>
      <c r="D101" s="238">
        <f t="shared" si="10"/>
        <v>-458.65</v>
      </c>
      <c r="E101" s="243" t="s">
        <v>149</v>
      </c>
      <c r="F101" s="240">
        <f t="shared" si="11"/>
        <v>55619.462500000045</v>
      </c>
      <c r="G101" s="302"/>
      <c r="H101" s="302">
        <v>7910</v>
      </c>
      <c r="I101" s="303">
        <f>C101</f>
        <v>458.65</v>
      </c>
      <c r="J101" s="302"/>
      <c r="K101" s="298"/>
      <c r="L101" s="278"/>
      <c r="M101" s="278"/>
      <c r="N101" s="278"/>
      <c r="O101" s="278"/>
      <c r="P101" s="278"/>
      <c r="Q101" s="278"/>
      <c r="R101" s="278"/>
      <c r="S101" s="278"/>
      <c r="T101" s="278"/>
      <c r="U101" s="304"/>
      <c r="V101" s="305">
        <f>SUM(I101)</f>
        <v>458.65</v>
      </c>
      <c r="W101" s="242"/>
      <c r="X101" s="242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  <c r="AR101" s="242"/>
      <c r="AS101" s="242"/>
      <c r="AT101" s="278"/>
      <c r="AU101" s="278"/>
      <c r="AV101" s="278"/>
      <c r="AW101" s="278"/>
      <c r="AX101" s="278"/>
      <c r="AY101" s="293"/>
      <c r="AZ101" s="304">
        <f t="shared" si="9"/>
        <v>0</v>
      </c>
    </row>
    <row r="102" spans="1:52" s="300" customFormat="1" ht="15.75" customHeight="1" x14ac:dyDescent="0.3">
      <c r="A102" s="331">
        <v>4</v>
      </c>
      <c r="B102" s="265" t="s">
        <v>157</v>
      </c>
      <c r="C102" s="272"/>
      <c r="D102" s="273">
        <v>40630.800000000003</v>
      </c>
      <c r="E102" s="268" t="s">
        <v>179</v>
      </c>
      <c r="F102" s="269">
        <f t="shared" si="11"/>
        <v>96250.262500000041</v>
      </c>
      <c r="G102" s="302"/>
      <c r="H102" s="302" t="s">
        <v>207</v>
      </c>
      <c r="I102" s="302" t="s">
        <v>207</v>
      </c>
      <c r="J102" s="302"/>
      <c r="K102" s="298"/>
      <c r="L102" s="278"/>
      <c r="M102" s="278"/>
      <c r="N102" s="278"/>
      <c r="O102" s="278"/>
      <c r="P102" s="278"/>
      <c r="Q102" s="278"/>
      <c r="R102" s="278"/>
      <c r="S102" s="278"/>
      <c r="T102" s="278"/>
      <c r="U102" s="304"/>
      <c r="V102" s="305"/>
      <c r="W102" s="242"/>
      <c r="X102" s="242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  <c r="AR102" s="242"/>
      <c r="AS102" s="242"/>
      <c r="AT102" s="278"/>
      <c r="AU102" s="278"/>
      <c r="AV102" s="278"/>
      <c r="AW102" s="278"/>
      <c r="AX102" s="278"/>
      <c r="AY102" s="293"/>
      <c r="AZ102" s="304">
        <f t="shared" si="9"/>
        <v>0</v>
      </c>
    </row>
    <row r="103" spans="1:52" s="300" customFormat="1" ht="15.75" customHeight="1" x14ac:dyDescent="0.3">
      <c r="A103" s="290">
        <v>4</v>
      </c>
      <c r="B103" s="241" t="s">
        <v>148</v>
      </c>
      <c r="C103" s="242">
        <v>150</v>
      </c>
      <c r="D103" s="238">
        <f t="shared" ref="D103:D150" si="16">SUM(C103*-1)</f>
        <v>-150</v>
      </c>
      <c r="E103" s="243" t="s">
        <v>147</v>
      </c>
      <c r="F103" s="240">
        <f t="shared" si="11"/>
        <v>96100.262500000041</v>
      </c>
      <c r="G103" s="302"/>
      <c r="H103" s="302">
        <v>7950</v>
      </c>
      <c r="I103" s="303">
        <f t="shared" ref="I103:I109" si="17">C103</f>
        <v>150</v>
      </c>
      <c r="J103" s="302"/>
      <c r="K103" s="298"/>
      <c r="L103" s="278"/>
      <c r="M103" s="278"/>
      <c r="N103" s="278"/>
      <c r="O103" s="278"/>
      <c r="P103" s="278"/>
      <c r="Q103" s="278"/>
      <c r="R103" s="278"/>
      <c r="S103" s="278"/>
      <c r="T103" s="278"/>
      <c r="U103" s="304"/>
      <c r="V103" s="305"/>
      <c r="W103" s="242">
        <f>SUM(I103)</f>
        <v>150</v>
      </c>
      <c r="X103" s="242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  <c r="AR103" s="242"/>
      <c r="AS103" s="242"/>
      <c r="AT103" s="278"/>
      <c r="AU103" s="278"/>
      <c r="AV103" s="278"/>
      <c r="AW103" s="278"/>
      <c r="AX103" s="278"/>
      <c r="AY103" s="293"/>
      <c r="AZ103" s="304">
        <f t="shared" si="9"/>
        <v>0</v>
      </c>
    </row>
    <row r="104" spans="1:52" s="300" customFormat="1" ht="15.75" customHeight="1" x14ac:dyDescent="0.3">
      <c r="A104" s="290">
        <v>4</v>
      </c>
      <c r="B104" s="241" t="s">
        <v>146</v>
      </c>
      <c r="C104" s="242">
        <v>149.99</v>
      </c>
      <c r="D104" s="238">
        <f t="shared" si="16"/>
        <v>-149.99</v>
      </c>
      <c r="E104" s="243" t="s">
        <v>145</v>
      </c>
      <c r="F104" s="240">
        <f t="shared" si="11"/>
        <v>95950.272500000036</v>
      </c>
      <c r="G104" s="302"/>
      <c r="H104" s="302">
        <v>7950</v>
      </c>
      <c r="I104" s="303">
        <f t="shared" si="17"/>
        <v>149.99</v>
      </c>
      <c r="J104" s="302"/>
      <c r="K104" s="298"/>
      <c r="L104" s="278"/>
      <c r="M104" s="278"/>
      <c r="N104" s="278"/>
      <c r="O104" s="278"/>
      <c r="P104" s="278"/>
      <c r="Q104" s="278"/>
      <c r="R104" s="278"/>
      <c r="S104" s="278"/>
      <c r="T104" s="278"/>
      <c r="U104" s="304"/>
      <c r="V104" s="305"/>
      <c r="W104" s="242">
        <f>SUM(I104)</f>
        <v>149.99</v>
      </c>
      <c r="X104" s="242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  <c r="AR104" s="242"/>
      <c r="AS104" s="242"/>
      <c r="AT104" s="278"/>
      <c r="AU104" s="278"/>
      <c r="AV104" s="278"/>
      <c r="AW104" s="278"/>
      <c r="AX104" s="278"/>
      <c r="AY104" s="293"/>
      <c r="AZ104" s="304">
        <f t="shared" si="9"/>
        <v>0</v>
      </c>
    </row>
    <row r="105" spans="1:52" s="300" customFormat="1" ht="15.75" customHeight="1" x14ac:dyDescent="0.3">
      <c r="A105" s="290">
        <v>4</v>
      </c>
      <c r="B105" s="241" t="s">
        <v>144</v>
      </c>
      <c r="C105" s="242">
        <v>300</v>
      </c>
      <c r="D105" s="238">
        <f t="shared" si="16"/>
        <v>-300</v>
      </c>
      <c r="E105" s="243" t="s">
        <v>138</v>
      </c>
      <c r="F105" s="240">
        <f t="shared" si="11"/>
        <v>95650.272500000036</v>
      </c>
      <c r="G105" s="302"/>
      <c r="H105" s="302">
        <v>7950</v>
      </c>
      <c r="I105" s="303">
        <f t="shared" si="17"/>
        <v>300</v>
      </c>
      <c r="J105" s="302"/>
      <c r="K105" s="298"/>
      <c r="L105" s="278"/>
      <c r="M105" s="278"/>
      <c r="N105" s="278"/>
      <c r="O105" s="278"/>
      <c r="P105" s="278"/>
      <c r="Q105" s="278"/>
      <c r="R105" s="278"/>
      <c r="S105" s="278"/>
      <c r="T105" s="278"/>
      <c r="U105" s="304"/>
      <c r="V105" s="305"/>
      <c r="W105" s="242">
        <f>SUM(I105)</f>
        <v>300</v>
      </c>
      <c r="X105" s="242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  <c r="AR105" s="242"/>
      <c r="AS105" s="242"/>
      <c r="AT105" s="278"/>
      <c r="AU105" s="278"/>
      <c r="AV105" s="278"/>
      <c r="AW105" s="278"/>
      <c r="AX105" s="278"/>
      <c r="AY105" s="293"/>
      <c r="AZ105" s="304">
        <f t="shared" si="9"/>
        <v>0</v>
      </c>
    </row>
    <row r="106" spans="1:52" s="300" customFormat="1" ht="15.75" customHeight="1" x14ac:dyDescent="0.3">
      <c r="A106" s="290">
        <v>4</v>
      </c>
      <c r="B106" s="244" t="s">
        <v>143</v>
      </c>
      <c r="C106" s="242">
        <v>75</v>
      </c>
      <c r="D106" s="238">
        <f t="shared" si="16"/>
        <v>-75</v>
      </c>
      <c r="E106" s="243" t="s">
        <v>138</v>
      </c>
      <c r="F106" s="240">
        <f t="shared" si="11"/>
        <v>95575.272500000036</v>
      </c>
      <c r="G106" s="302"/>
      <c r="H106" s="302">
        <v>7950</v>
      </c>
      <c r="I106" s="303">
        <f t="shared" si="17"/>
        <v>75</v>
      </c>
      <c r="J106" s="302"/>
      <c r="K106" s="298"/>
      <c r="L106" s="278"/>
      <c r="M106" s="278"/>
      <c r="N106" s="278"/>
      <c r="O106" s="278"/>
      <c r="P106" s="278"/>
      <c r="Q106" s="278"/>
      <c r="R106" s="278"/>
      <c r="S106" s="278"/>
      <c r="T106" s="278"/>
      <c r="U106" s="304"/>
      <c r="V106" s="305"/>
      <c r="W106" s="242">
        <f>SUM(I106)</f>
        <v>75</v>
      </c>
      <c r="X106" s="242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  <c r="AR106" s="242"/>
      <c r="AS106" s="242"/>
      <c r="AT106" s="278"/>
      <c r="AU106" s="278"/>
      <c r="AV106" s="278"/>
      <c r="AW106" s="278"/>
      <c r="AX106" s="278"/>
      <c r="AY106" s="293"/>
      <c r="AZ106" s="304">
        <f t="shared" si="9"/>
        <v>0</v>
      </c>
    </row>
    <row r="107" spans="1:52" s="300" customFormat="1" ht="15.75" customHeight="1" x14ac:dyDescent="0.3">
      <c r="A107" s="290">
        <v>4</v>
      </c>
      <c r="B107" s="241" t="s">
        <v>142</v>
      </c>
      <c r="C107" s="242">
        <v>2500</v>
      </c>
      <c r="D107" s="238">
        <f t="shared" si="16"/>
        <v>-2500</v>
      </c>
      <c r="E107" s="243" t="s">
        <v>140</v>
      </c>
      <c r="F107" s="240">
        <f t="shared" si="11"/>
        <v>93075.272500000036</v>
      </c>
      <c r="G107" s="302"/>
      <c r="H107" s="302">
        <v>5710</v>
      </c>
      <c r="I107" s="303">
        <f t="shared" si="17"/>
        <v>2500</v>
      </c>
      <c r="J107" s="302"/>
      <c r="K107" s="298"/>
      <c r="L107" s="278"/>
      <c r="M107" s="278"/>
      <c r="N107" s="278"/>
      <c r="O107" s="278"/>
      <c r="P107" s="278"/>
      <c r="Q107" s="278"/>
      <c r="R107" s="278"/>
      <c r="S107" s="278"/>
      <c r="T107" s="278"/>
      <c r="U107" s="304"/>
      <c r="V107" s="305"/>
      <c r="W107" s="242"/>
      <c r="X107" s="242"/>
      <c r="Y107" s="242"/>
      <c r="Z107" s="242">
        <f>SUM(I107)</f>
        <v>2500</v>
      </c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  <c r="AR107" s="242"/>
      <c r="AS107" s="242"/>
      <c r="AT107" s="278"/>
      <c r="AU107" s="278"/>
      <c r="AV107" s="278"/>
      <c r="AW107" s="278"/>
      <c r="AX107" s="278"/>
      <c r="AY107" s="293"/>
      <c r="AZ107" s="304">
        <f t="shared" si="9"/>
        <v>0</v>
      </c>
    </row>
    <row r="108" spans="1:52" s="300" customFormat="1" ht="15.75" customHeight="1" x14ac:dyDescent="0.3">
      <c r="A108" s="290">
        <v>4</v>
      </c>
      <c r="B108" s="241" t="s">
        <v>141</v>
      </c>
      <c r="C108" s="242">
        <v>1080</v>
      </c>
      <c r="D108" s="238">
        <f t="shared" si="16"/>
        <v>-1080</v>
      </c>
      <c r="E108" s="243" t="s">
        <v>140</v>
      </c>
      <c r="F108" s="240">
        <f t="shared" si="11"/>
        <v>91995.272500000036</v>
      </c>
      <c r="G108" s="302"/>
      <c r="H108" s="302">
        <v>6730</v>
      </c>
      <c r="I108" s="303">
        <f t="shared" si="17"/>
        <v>1080</v>
      </c>
      <c r="J108" s="302"/>
      <c r="K108" s="298"/>
      <c r="L108" s="278"/>
      <c r="M108" s="278"/>
      <c r="N108" s="278"/>
      <c r="O108" s="278"/>
      <c r="P108" s="278"/>
      <c r="Q108" s="278"/>
      <c r="R108" s="278"/>
      <c r="S108" s="278"/>
      <c r="T108" s="278"/>
      <c r="U108" s="304"/>
      <c r="V108" s="305"/>
      <c r="W108" s="242"/>
      <c r="X108" s="242">
        <f>SUM(I108)</f>
        <v>1080</v>
      </c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  <c r="AR108" s="242"/>
      <c r="AS108" s="242"/>
      <c r="AT108" s="278"/>
      <c r="AU108" s="278"/>
      <c r="AV108" s="278"/>
      <c r="AW108" s="278"/>
      <c r="AX108" s="278"/>
      <c r="AY108" s="293"/>
      <c r="AZ108" s="304">
        <f t="shared" si="9"/>
        <v>0</v>
      </c>
    </row>
    <row r="109" spans="1:52" s="300" customFormat="1" ht="15.75" customHeight="1" thickBot="1" x14ac:dyDescent="0.35">
      <c r="A109" s="320">
        <v>4</v>
      </c>
      <c r="B109" s="250" t="s">
        <v>178</v>
      </c>
      <c r="C109" s="251">
        <f>'MMWW Repayment Sch'!H18</f>
        <v>24882.35</v>
      </c>
      <c r="D109" s="252">
        <f t="shared" ref="D109" si="18">SUM(C109*-1)</f>
        <v>-24882.35</v>
      </c>
      <c r="E109" s="253" t="s">
        <v>364</v>
      </c>
      <c r="F109" s="254">
        <f t="shared" si="11"/>
        <v>67112.922500000044</v>
      </c>
      <c r="G109" s="302"/>
      <c r="H109" s="302">
        <v>5130</v>
      </c>
      <c r="I109" s="303">
        <f t="shared" si="17"/>
        <v>24882.35</v>
      </c>
      <c r="J109" s="302"/>
      <c r="K109" s="298"/>
      <c r="L109" s="278"/>
      <c r="M109" s="278"/>
      <c r="N109" s="278"/>
      <c r="O109" s="278"/>
      <c r="P109" s="278"/>
      <c r="Q109" s="278"/>
      <c r="R109" s="278"/>
      <c r="S109" s="278"/>
      <c r="T109" s="278"/>
      <c r="U109" s="307"/>
      <c r="V109" s="308"/>
      <c r="W109" s="308"/>
      <c r="X109" s="308"/>
      <c r="Y109" s="308"/>
      <c r="Z109" s="308"/>
      <c r="AA109" s="308">
        <f>SUM(I109)</f>
        <v>24882.35</v>
      </c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9"/>
      <c r="AU109" s="309"/>
      <c r="AV109" s="309"/>
      <c r="AW109" s="309"/>
      <c r="AX109" s="309"/>
      <c r="AY109" s="309"/>
      <c r="AZ109" s="307">
        <f t="shared" si="9"/>
        <v>0</v>
      </c>
    </row>
    <row r="110" spans="1:52" s="300" customFormat="1" ht="15.75" customHeight="1" x14ac:dyDescent="0.3">
      <c r="A110" s="290"/>
      <c r="B110" s="241"/>
      <c r="C110" s="242"/>
      <c r="D110" s="238"/>
      <c r="E110" s="245" t="s">
        <v>285</v>
      </c>
      <c r="F110" s="240">
        <f t="shared" si="11"/>
        <v>67112.922500000044</v>
      </c>
      <c r="G110" s="302"/>
      <c r="H110" s="302"/>
      <c r="I110" s="303"/>
      <c r="J110" s="302"/>
      <c r="K110" s="298"/>
      <c r="L110" s="278"/>
      <c r="M110" s="278"/>
      <c r="N110" s="278"/>
      <c r="O110" s="278"/>
      <c r="P110" s="278"/>
      <c r="Q110" s="278"/>
      <c r="R110" s="278"/>
      <c r="S110" s="278"/>
      <c r="T110" s="278"/>
      <c r="U110" s="310">
        <f t="shared" ref="U110:AY110" si="19">SUM(U83:U109)</f>
        <v>294.95</v>
      </c>
      <c r="V110" s="311">
        <f t="shared" si="19"/>
        <v>708.65</v>
      </c>
      <c r="W110" s="311">
        <f t="shared" si="19"/>
        <v>779.72749999999996</v>
      </c>
      <c r="X110" s="311">
        <f t="shared" si="19"/>
        <v>1080</v>
      </c>
      <c r="Y110" s="311">
        <f t="shared" si="19"/>
        <v>778.6875</v>
      </c>
      <c r="Z110" s="311">
        <f t="shared" si="19"/>
        <v>2500</v>
      </c>
      <c r="AA110" s="311">
        <f t="shared" si="19"/>
        <v>25257.35</v>
      </c>
      <c r="AB110" s="311">
        <f t="shared" si="19"/>
        <v>7500</v>
      </c>
      <c r="AC110" s="311">
        <f t="shared" si="19"/>
        <v>2350</v>
      </c>
      <c r="AD110" s="311">
        <f t="shared" si="19"/>
        <v>1674</v>
      </c>
      <c r="AE110" s="311">
        <f t="shared" si="19"/>
        <v>8333</v>
      </c>
      <c r="AF110" s="311">
        <f t="shared" si="19"/>
        <v>150</v>
      </c>
      <c r="AG110" s="311">
        <f t="shared" si="19"/>
        <v>2020</v>
      </c>
      <c r="AH110" s="311">
        <f t="shared" si="19"/>
        <v>20000</v>
      </c>
      <c r="AI110" s="311">
        <f t="shared" si="19"/>
        <v>1500</v>
      </c>
      <c r="AJ110" s="311">
        <f t="shared" si="19"/>
        <v>3000</v>
      </c>
      <c r="AK110" s="311">
        <f t="shared" si="19"/>
        <v>250</v>
      </c>
      <c r="AL110" s="311">
        <f t="shared" si="19"/>
        <v>0</v>
      </c>
      <c r="AM110" s="311">
        <f t="shared" si="19"/>
        <v>200</v>
      </c>
      <c r="AN110" s="311">
        <f t="shared" si="19"/>
        <v>625</v>
      </c>
      <c r="AO110" s="311">
        <f t="shared" si="19"/>
        <v>0</v>
      </c>
      <c r="AP110" s="311">
        <f t="shared" si="19"/>
        <v>1833.35</v>
      </c>
      <c r="AQ110" s="311">
        <f t="shared" si="19"/>
        <v>111.1875</v>
      </c>
      <c r="AR110" s="311">
        <f t="shared" si="19"/>
        <v>63.75</v>
      </c>
      <c r="AS110" s="311">
        <f t="shared" si="19"/>
        <v>0</v>
      </c>
      <c r="AT110" s="311">
        <f t="shared" si="19"/>
        <v>0</v>
      </c>
      <c r="AU110" s="311">
        <f t="shared" si="19"/>
        <v>0</v>
      </c>
      <c r="AV110" s="311">
        <f t="shared" si="19"/>
        <v>0</v>
      </c>
      <c r="AW110" s="311">
        <f t="shared" si="19"/>
        <v>0</v>
      </c>
      <c r="AX110" s="311">
        <f t="shared" si="19"/>
        <v>5000</v>
      </c>
      <c r="AY110" s="311">
        <f t="shared" si="19"/>
        <v>3250</v>
      </c>
      <c r="AZ110" s="304"/>
    </row>
    <row r="111" spans="1:52" s="300" customFormat="1" ht="15.75" customHeight="1" x14ac:dyDescent="0.3">
      <c r="A111" s="397">
        <v>5</v>
      </c>
      <c r="B111" s="398" t="s">
        <v>388</v>
      </c>
      <c r="C111" s="399">
        <f>C83</f>
        <v>5000</v>
      </c>
      <c r="D111" s="400">
        <f t="shared" ref="D111" si="20">SUM(C111*-1)</f>
        <v>-5000</v>
      </c>
      <c r="E111" s="401" t="s">
        <v>390</v>
      </c>
      <c r="F111" s="402">
        <f t="shared" si="11"/>
        <v>62112.922500000044</v>
      </c>
      <c r="G111" s="302"/>
      <c r="H111" s="302"/>
      <c r="I111" s="303"/>
      <c r="J111" s="302"/>
      <c r="K111" s="298"/>
      <c r="L111" s="278"/>
      <c r="M111" s="278"/>
      <c r="N111" s="278"/>
      <c r="O111" s="278"/>
      <c r="P111" s="278"/>
      <c r="Q111" s="278"/>
      <c r="R111" s="278"/>
      <c r="S111" s="278"/>
      <c r="T111" s="278"/>
      <c r="U111" s="304"/>
      <c r="V111" s="305"/>
      <c r="W111" s="242"/>
      <c r="X111" s="242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  <c r="AR111" s="242"/>
      <c r="AS111" s="242"/>
      <c r="AT111" s="278"/>
      <c r="AU111" s="278"/>
      <c r="AV111" s="278"/>
      <c r="AW111" s="278"/>
      <c r="AX111" s="242">
        <f>SUM(C111)</f>
        <v>5000</v>
      </c>
      <c r="AY111" s="293"/>
      <c r="AZ111" s="304"/>
    </row>
    <row r="112" spans="1:52" s="278" customFormat="1" ht="15.75" customHeight="1" x14ac:dyDescent="0.3">
      <c r="A112" s="321">
        <v>5</v>
      </c>
      <c r="B112" s="255" t="s">
        <v>177</v>
      </c>
      <c r="C112" s="256">
        <v>2000</v>
      </c>
      <c r="D112" s="257">
        <f t="shared" si="16"/>
        <v>-2000</v>
      </c>
      <c r="E112" s="259" t="s">
        <v>170</v>
      </c>
      <c r="F112" s="240">
        <f t="shared" si="11"/>
        <v>60112.922500000044</v>
      </c>
      <c r="G112" s="302"/>
      <c r="H112" s="302"/>
      <c r="I112" s="303"/>
      <c r="J112" s="302"/>
      <c r="K112" s="298"/>
      <c r="U112" s="304"/>
      <c r="V112" s="305"/>
      <c r="W112" s="242">
        <v>250</v>
      </c>
      <c r="X112" s="242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  <c r="AR112" s="242"/>
      <c r="AS112" s="242"/>
      <c r="AY112" s="305">
        <v>1750</v>
      </c>
      <c r="AZ112" s="304">
        <f t="shared" si="9"/>
        <v>0</v>
      </c>
    </row>
    <row r="113" spans="1:52" s="278" customFormat="1" ht="15.75" customHeight="1" x14ac:dyDescent="0.3">
      <c r="A113" s="321">
        <v>5</v>
      </c>
      <c r="B113" s="255" t="s">
        <v>176</v>
      </c>
      <c r="C113" s="256">
        <v>7500</v>
      </c>
      <c r="D113" s="257">
        <f t="shared" si="16"/>
        <v>-7500</v>
      </c>
      <c r="E113" s="259" t="s">
        <v>170</v>
      </c>
      <c r="F113" s="240">
        <f t="shared" si="11"/>
        <v>52612.922500000044</v>
      </c>
      <c r="G113" s="302"/>
      <c r="H113" s="302">
        <v>5510</v>
      </c>
      <c r="I113" s="303">
        <f>C113</f>
        <v>7500</v>
      </c>
      <c r="J113" s="302"/>
      <c r="K113" s="298"/>
      <c r="U113" s="304"/>
      <c r="V113" s="305"/>
      <c r="W113" s="242"/>
      <c r="X113" s="242"/>
      <c r="Y113" s="242"/>
      <c r="Z113" s="242"/>
      <c r="AA113" s="242"/>
      <c r="AB113" s="242">
        <f>SUM(I113)</f>
        <v>7500</v>
      </c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  <c r="AR113" s="242"/>
      <c r="AS113" s="242"/>
      <c r="AY113" s="293"/>
      <c r="AZ113" s="304">
        <f t="shared" si="9"/>
        <v>0</v>
      </c>
    </row>
    <row r="114" spans="1:52" s="278" customFormat="1" ht="15.75" customHeight="1" x14ac:dyDescent="0.3">
      <c r="A114" s="321">
        <v>5</v>
      </c>
      <c r="B114" s="255" t="s">
        <v>175</v>
      </c>
      <c r="C114" s="256">
        <v>550</v>
      </c>
      <c r="D114" s="257">
        <f t="shared" si="16"/>
        <v>-550</v>
      </c>
      <c r="E114" s="259" t="s">
        <v>170</v>
      </c>
      <c r="F114" s="240">
        <f t="shared" si="11"/>
        <v>52062.922500000044</v>
      </c>
      <c r="G114" s="302"/>
      <c r="H114" s="302">
        <v>7650</v>
      </c>
      <c r="I114" s="303">
        <f>C114</f>
        <v>550</v>
      </c>
      <c r="J114" s="302"/>
      <c r="K114" s="298"/>
      <c r="U114" s="304"/>
      <c r="V114" s="305"/>
      <c r="W114" s="242"/>
      <c r="X114" s="242"/>
      <c r="Y114" s="242"/>
      <c r="Z114" s="242"/>
      <c r="AA114" s="242"/>
      <c r="AB114" s="242"/>
      <c r="AC114" s="242">
        <f>SUM(I114)</f>
        <v>550</v>
      </c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  <c r="AR114" s="242"/>
      <c r="AS114" s="242"/>
      <c r="AY114" s="293"/>
      <c r="AZ114" s="304">
        <f t="shared" si="9"/>
        <v>0</v>
      </c>
    </row>
    <row r="115" spans="1:52" s="278" customFormat="1" ht="15.75" customHeight="1" x14ac:dyDescent="0.3">
      <c r="A115" s="321">
        <v>5</v>
      </c>
      <c r="B115" s="255" t="s">
        <v>174</v>
      </c>
      <c r="C115" s="256">
        <v>1800</v>
      </c>
      <c r="D115" s="257">
        <f t="shared" si="16"/>
        <v>-1800</v>
      </c>
      <c r="E115" s="259" t="s">
        <v>173</v>
      </c>
      <c r="F115" s="240">
        <f t="shared" si="11"/>
        <v>50262.922500000044</v>
      </c>
      <c r="G115" s="302"/>
      <c r="H115" s="302">
        <v>7650</v>
      </c>
      <c r="I115" s="303">
        <f>C115</f>
        <v>1800</v>
      </c>
      <c r="J115" s="302"/>
      <c r="K115" s="298"/>
      <c r="U115" s="304"/>
      <c r="V115" s="305"/>
      <c r="W115" s="242"/>
      <c r="X115" s="242"/>
      <c r="Y115" s="242"/>
      <c r="Z115" s="242"/>
      <c r="AA115" s="242"/>
      <c r="AB115" s="242"/>
      <c r="AC115" s="242">
        <f>SUM(I115)</f>
        <v>1800</v>
      </c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  <c r="AR115" s="242"/>
      <c r="AS115" s="242"/>
      <c r="AY115" s="293"/>
      <c r="AZ115" s="304">
        <f t="shared" si="9"/>
        <v>0</v>
      </c>
    </row>
    <row r="116" spans="1:52" s="278" customFormat="1" ht="15.75" customHeight="1" x14ac:dyDescent="0.3">
      <c r="A116" s="290">
        <v>5</v>
      </c>
      <c r="B116" s="241" t="s">
        <v>172</v>
      </c>
      <c r="C116" s="242">
        <v>9917</v>
      </c>
      <c r="D116" s="238">
        <f t="shared" si="16"/>
        <v>-9917</v>
      </c>
      <c r="E116" s="243" t="s">
        <v>170</v>
      </c>
      <c r="F116" s="240">
        <f t="shared" si="11"/>
        <v>40345.922500000044</v>
      </c>
      <c r="G116" s="302"/>
      <c r="H116" s="302">
        <v>5750</v>
      </c>
      <c r="I116" s="313">
        <v>1584</v>
      </c>
      <c r="J116" s="302">
        <v>5520</v>
      </c>
      <c r="K116" s="298">
        <v>8333</v>
      </c>
      <c r="U116" s="304"/>
      <c r="V116" s="305"/>
      <c r="W116" s="242"/>
      <c r="X116" s="242"/>
      <c r="Y116" s="242"/>
      <c r="Z116" s="242"/>
      <c r="AA116" s="242"/>
      <c r="AB116" s="242"/>
      <c r="AC116" s="242"/>
      <c r="AD116" s="242">
        <f>SUM(I116)</f>
        <v>1584</v>
      </c>
      <c r="AE116" s="242">
        <f>SUM(K116)</f>
        <v>8333</v>
      </c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  <c r="AR116" s="242"/>
      <c r="AS116" s="242"/>
      <c r="AY116" s="293"/>
      <c r="AZ116" s="304">
        <f t="shared" ref="AZ116:AZ148" si="21">SUM(U116:AY116)-C116</f>
        <v>0</v>
      </c>
    </row>
    <row r="117" spans="1:52" s="278" customFormat="1" ht="15.75" customHeight="1" x14ac:dyDescent="0.3">
      <c r="A117" s="290">
        <v>5</v>
      </c>
      <c r="B117" s="241" t="s">
        <v>171</v>
      </c>
      <c r="C117" s="242">
        <v>34.950000000000003</v>
      </c>
      <c r="D117" s="238">
        <f t="shared" si="16"/>
        <v>-34.950000000000003</v>
      </c>
      <c r="E117" s="243" t="s">
        <v>170</v>
      </c>
      <c r="F117" s="240">
        <f t="shared" si="11"/>
        <v>40310.972500000047</v>
      </c>
      <c r="G117" s="302"/>
      <c r="H117" s="302">
        <v>7850</v>
      </c>
      <c r="I117" s="303">
        <f>C117</f>
        <v>34.950000000000003</v>
      </c>
      <c r="J117" s="302"/>
      <c r="K117" s="298"/>
      <c r="U117" s="304">
        <f>SUM(I117)</f>
        <v>34.950000000000003</v>
      </c>
      <c r="V117" s="305"/>
      <c r="W117" s="242"/>
      <c r="X117" s="242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  <c r="AR117" s="242"/>
      <c r="AS117" s="242"/>
      <c r="AY117" s="293"/>
      <c r="AZ117" s="304">
        <f t="shared" si="21"/>
        <v>0</v>
      </c>
    </row>
    <row r="118" spans="1:52" s="278" customFormat="1" ht="15.75" customHeight="1" x14ac:dyDescent="0.3">
      <c r="A118" s="290">
        <v>5</v>
      </c>
      <c r="B118" s="241" t="s">
        <v>169</v>
      </c>
      <c r="C118" s="242">
        <v>150</v>
      </c>
      <c r="D118" s="238">
        <f t="shared" si="16"/>
        <v>-150</v>
      </c>
      <c r="E118" s="243" t="s">
        <v>168</v>
      </c>
      <c r="F118" s="240">
        <f t="shared" si="11"/>
        <v>40160.972500000047</v>
      </c>
      <c r="G118" s="302"/>
      <c r="H118" s="302">
        <v>7090</v>
      </c>
      <c r="I118" s="303">
        <f>C118</f>
        <v>150</v>
      </c>
      <c r="J118" s="302"/>
      <c r="K118" s="298"/>
      <c r="U118" s="304"/>
      <c r="V118" s="305"/>
      <c r="W118" s="242"/>
      <c r="X118" s="242"/>
      <c r="Y118" s="242"/>
      <c r="Z118" s="242"/>
      <c r="AA118" s="242"/>
      <c r="AB118" s="242"/>
      <c r="AC118" s="242"/>
      <c r="AD118" s="242"/>
      <c r="AE118" s="242"/>
      <c r="AF118" s="242">
        <f>SUM(I118)</f>
        <v>150</v>
      </c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  <c r="AR118" s="242"/>
      <c r="AS118" s="242"/>
      <c r="AY118" s="293"/>
      <c r="AZ118" s="304">
        <f t="shared" si="21"/>
        <v>0</v>
      </c>
    </row>
    <row r="119" spans="1:52" s="300" customFormat="1" ht="15.75" customHeight="1" x14ac:dyDescent="0.3">
      <c r="A119" s="290">
        <v>5</v>
      </c>
      <c r="B119" s="241" t="s">
        <v>155</v>
      </c>
      <c r="C119" s="242">
        <v>13385</v>
      </c>
      <c r="D119" s="238">
        <v>-13385</v>
      </c>
      <c r="E119" s="243">
        <v>43895</v>
      </c>
      <c r="F119" s="240">
        <f t="shared" si="11"/>
        <v>26775.972500000047</v>
      </c>
      <c r="G119" s="302"/>
      <c r="H119" s="302">
        <v>8570</v>
      </c>
      <c r="I119" s="313">
        <v>1010</v>
      </c>
      <c r="J119" s="302" t="s">
        <v>207</v>
      </c>
      <c r="K119" s="298" t="s">
        <v>207</v>
      </c>
      <c r="L119" s="278">
        <v>8510</v>
      </c>
      <c r="M119" s="298">
        <v>10000</v>
      </c>
      <c r="N119" s="314">
        <v>8520</v>
      </c>
      <c r="O119" s="298">
        <v>750</v>
      </c>
      <c r="P119" s="314">
        <v>8530</v>
      </c>
      <c r="Q119" s="315">
        <v>1500</v>
      </c>
      <c r="R119" s="314">
        <v>8590</v>
      </c>
      <c r="S119" s="298">
        <v>125</v>
      </c>
      <c r="T119" s="316">
        <v>13385</v>
      </c>
      <c r="U119" s="304"/>
      <c r="V119" s="305"/>
      <c r="W119" s="242"/>
      <c r="X119" s="242"/>
      <c r="Y119" s="242"/>
      <c r="Z119" s="242"/>
      <c r="AA119" s="242"/>
      <c r="AB119" s="242"/>
      <c r="AC119" s="242"/>
      <c r="AD119" s="242"/>
      <c r="AE119" s="242"/>
      <c r="AF119" s="242"/>
      <c r="AG119" s="242">
        <v>1010</v>
      </c>
      <c r="AH119" s="242">
        <v>10000</v>
      </c>
      <c r="AI119" s="242">
        <v>750</v>
      </c>
      <c r="AJ119" s="242">
        <v>1500</v>
      </c>
      <c r="AK119" s="242">
        <v>125</v>
      </c>
      <c r="AL119" s="242"/>
      <c r="AM119" s="242"/>
      <c r="AN119" s="242"/>
      <c r="AO119" s="242"/>
      <c r="AP119" s="242"/>
      <c r="AQ119" s="242"/>
      <c r="AR119" s="242"/>
      <c r="AS119" s="242"/>
      <c r="AT119" s="278"/>
      <c r="AU119" s="278"/>
      <c r="AV119" s="278"/>
      <c r="AW119" s="278"/>
      <c r="AX119" s="278"/>
      <c r="AY119" s="293"/>
      <c r="AZ119" s="304">
        <v>0</v>
      </c>
    </row>
    <row r="120" spans="1:52" s="278" customFormat="1" ht="15.75" customHeight="1" x14ac:dyDescent="0.3">
      <c r="A120" s="290">
        <v>5</v>
      </c>
      <c r="B120" s="241" t="s">
        <v>153</v>
      </c>
      <c r="C120" s="242">
        <v>100</v>
      </c>
      <c r="D120" s="238">
        <f t="shared" si="16"/>
        <v>-100</v>
      </c>
      <c r="E120" s="243" t="s">
        <v>166</v>
      </c>
      <c r="F120" s="240">
        <f t="shared" si="11"/>
        <v>26675.972500000047</v>
      </c>
      <c r="G120" s="302"/>
      <c r="H120" s="302">
        <v>7850</v>
      </c>
      <c r="I120" s="303">
        <f>C120</f>
        <v>100</v>
      </c>
      <c r="J120" s="302"/>
      <c r="K120" s="298"/>
      <c r="U120" s="304">
        <f>SUM(I120)</f>
        <v>100</v>
      </c>
      <c r="V120" s="305"/>
      <c r="W120" s="242"/>
      <c r="X120" s="242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  <c r="AR120" s="242"/>
      <c r="AS120" s="242"/>
      <c r="AY120" s="293"/>
      <c r="AZ120" s="304">
        <f t="shared" si="21"/>
        <v>0</v>
      </c>
    </row>
    <row r="121" spans="1:52" s="278" customFormat="1" ht="15.75" customHeight="1" x14ac:dyDescent="0.3">
      <c r="A121" s="290">
        <v>5</v>
      </c>
      <c r="B121" s="241" t="s">
        <v>165</v>
      </c>
      <c r="C121" s="242">
        <v>200</v>
      </c>
      <c r="D121" s="238">
        <f t="shared" si="16"/>
        <v>-200</v>
      </c>
      <c r="E121" s="243" t="s">
        <v>161</v>
      </c>
      <c r="F121" s="240">
        <f t="shared" si="11"/>
        <v>26475.972500000047</v>
      </c>
      <c r="G121" s="302"/>
      <c r="H121" s="302">
        <v>6770</v>
      </c>
      <c r="I121" s="303">
        <f>C121</f>
        <v>200</v>
      </c>
      <c r="J121" s="302"/>
      <c r="K121" s="298"/>
      <c r="U121" s="304"/>
      <c r="V121" s="305"/>
      <c r="W121" s="242"/>
      <c r="X121" s="242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>
        <f>SUM(I121)</f>
        <v>200</v>
      </c>
      <c r="AN121" s="242"/>
      <c r="AO121" s="242"/>
      <c r="AP121" s="242"/>
      <c r="AQ121" s="242"/>
      <c r="AR121" s="242"/>
      <c r="AS121" s="242"/>
      <c r="AY121" s="293"/>
      <c r="AZ121" s="304">
        <f t="shared" si="21"/>
        <v>0</v>
      </c>
    </row>
    <row r="122" spans="1:52" s="278" customFormat="1" ht="15.75" customHeight="1" x14ac:dyDescent="0.3">
      <c r="A122" s="290">
        <v>5</v>
      </c>
      <c r="B122" s="244" t="s">
        <v>164</v>
      </c>
      <c r="C122" s="242">
        <v>625</v>
      </c>
      <c r="D122" s="238">
        <f t="shared" si="16"/>
        <v>-625</v>
      </c>
      <c r="E122" s="243" t="s">
        <v>163</v>
      </c>
      <c r="F122" s="240">
        <f t="shared" si="11"/>
        <v>25850.972500000047</v>
      </c>
      <c r="G122" s="302"/>
      <c r="H122" s="302">
        <v>5540</v>
      </c>
      <c r="I122" s="303">
        <f>C122</f>
        <v>625</v>
      </c>
      <c r="J122" s="302"/>
      <c r="K122" s="298"/>
      <c r="U122" s="304"/>
      <c r="V122" s="305"/>
      <c r="W122" s="242"/>
      <c r="X122" s="242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>
        <f>SUM(I122)</f>
        <v>625</v>
      </c>
      <c r="AO122" s="242"/>
      <c r="AP122" s="242"/>
      <c r="AQ122" s="242"/>
      <c r="AR122" s="242"/>
      <c r="AS122" s="242"/>
      <c r="AY122" s="293"/>
      <c r="AZ122" s="304">
        <f t="shared" si="21"/>
        <v>0</v>
      </c>
    </row>
    <row r="123" spans="1:52" s="300" customFormat="1" ht="15.75" customHeight="1" x14ac:dyDescent="0.3">
      <c r="A123" s="290">
        <v>5</v>
      </c>
      <c r="B123" s="241" t="s">
        <v>162</v>
      </c>
      <c r="C123" s="242">
        <v>60</v>
      </c>
      <c r="D123" s="238">
        <f t="shared" si="16"/>
        <v>-60</v>
      </c>
      <c r="E123" s="243" t="s">
        <v>161</v>
      </c>
      <c r="F123" s="240">
        <f t="shared" si="11"/>
        <v>25790.972500000047</v>
      </c>
      <c r="G123" s="302"/>
      <c r="H123" s="302">
        <v>7850</v>
      </c>
      <c r="I123" s="303">
        <f>C123</f>
        <v>60</v>
      </c>
      <c r="J123" s="302"/>
      <c r="K123" s="298"/>
      <c r="L123" s="278"/>
      <c r="M123" s="278"/>
      <c r="N123" s="278"/>
      <c r="O123" s="278"/>
      <c r="P123" s="278"/>
      <c r="Q123" s="278"/>
      <c r="R123" s="278"/>
      <c r="S123" s="278"/>
      <c r="T123" s="278"/>
      <c r="U123" s="304">
        <f>SUM(I123)</f>
        <v>60</v>
      </c>
      <c r="V123" s="305"/>
      <c r="W123" s="242"/>
      <c r="X123" s="242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  <c r="AR123" s="242"/>
      <c r="AS123" s="242"/>
      <c r="AT123" s="278"/>
      <c r="AU123" s="278"/>
      <c r="AV123" s="278"/>
      <c r="AW123" s="278"/>
      <c r="AX123" s="278"/>
      <c r="AY123" s="293"/>
      <c r="AZ123" s="304">
        <f t="shared" si="21"/>
        <v>0</v>
      </c>
    </row>
    <row r="124" spans="1:52" s="300" customFormat="1" ht="15.75" customHeight="1" x14ac:dyDescent="0.3">
      <c r="A124" s="321">
        <v>5</v>
      </c>
      <c r="B124" s="274" t="s">
        <v>160</v>
      </c>
      <c r="C124" s="275">
        <v>1833.35</v>
      </c>
      <c r="D124" s="257">
        <f t="shared" si="16"/>
        <v>-1833.35</v>
      </c>
      <c r="E124" s="259" t="s">
        <v>159</v>
      </c>
      <c r="F124" s="240">
        <f t="shared" si="11"/>
        <v>23957.622500000049</v>
      </c>
      <c r="G124" s="306"/>
      <c r="H124" s="302">
        <v>6590</v>
      </c>
      <c r="I124" s="303">
        <f>C124</f>
        <v>1833.35</v>
      </c>
      <c r="J124" s="302"/>
      <c r="K124" s="298"/>
      <c r="L124" s="278"/>
      <c r="M124" s="278"/>
      <c r="N124" s="278"/>
      <c r="O124" s="278"/>
      <c r="P124" s="278"/>
      <c r="Q124" s="278"/>
      <c r="R124" s="278"/>
      <c r="S124" s="278"/>
      <c r="T124" s="278"/>
      <c r="U124" s="304"/>
      <c r="V124" s="305"/>
      <c r="W124" s="242"/>
      <c r="X124" s="242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78"/>
      <c r="AP124" s="242">
        <f>SUM(I124)</f>
        <v>1833.35</v>
      </c>
      <c r="AQ124" s="242"/>
      <c r="AR124" s="242"/>
      <c r="AS124" s="242"/>
      <c r="AT124" s="278"/>
      <c r="AU124" s="278"/>
      <c r="AV124" s="278"/>
      <c r="AW124" s="278"/>
      <c r="AX124" s="278"/>
      <c r="AY124" s="293"/>
      <c r="AZ124" s="304">
        <f t="shared" si="21"/>
        <v>0</v>
      </c>
    </row>
    <row r="125" spans="1:52" s="300" customFormat="1" ht="15.75" customHeight="1" x14ac:dyDescent="0.3">
      <c r="A125" s="290">
        <v>5</v>
      </c>
      <c r="B125" s="241" t="s">
        <v>155</v>
      </c>
      <c r="C125" s="242">
        <v>13385</v>
      </c>
      <c r="D125" s="238">
        <v>-13385</v>
      </c>
      <c r="E125" s="243">
        <v>43895</v>
      </c>
      <c r="F125" s="240">
        <f t="shared" si="11"/>
        <v>10572.622500000049</v>
      </c>
      <c r="G125" s="302"/>
      <c r="H125" s="302">
        <v>8570</v>
      </c>
      <c r="I125" s="313">
        <v>1010</v>
      </c>
      <c r="J125" s="302" t="s">
        <v>207</v>
      </c>
      <c r="K125" s="298" t="s">
        <v>207</v>
      </c>
      <c r="L125" s="278">
        <v>8510</v>
      </c>
      <c r="M125" s="298">
        <v>10000</v>
      </c>
      <c r="N125" s="314">
        <v>8520</v>
      </c>
      <c r="O125" s="298">
        <v>750</v>
      </c>
      <c r="P125" s="314">
        <v>8530</v>
      </c>
      <c r="Q125" s="315">
        <v>1500</v>
      </c>
      <c r="R125" s="314">
        <v>8590</v>
      </c>
      <c r="S125" s="298">
        <v>125</v>
      </c>
      <c r="T125" s="316">
        <v>13385</v>
      </c>
      <c r="U125" s="304"/>
      <c r="V125" s="305"/>
      <c r="W125" s="242"/>
      <c r="X125" s="242"/>
      <c r="Y125" s="242"/>
      <c r="Z125" s="242"/>
      <c r="AA125" s="242"/>
      <c r="AB125" s="242"/>
      <c r="AC125" s="242"/>
      <c r="AD125" s="242"/>
      <c r="AE125" s="242"/>
      <c r="AF125" s="242"/>
      <c r="AG125" s="242">
        <v>1010</v>
      </c>
      <c r="AH125" s="242">
        <v>10000</v>
      </c>
      <c r="AI125" s="242">
        <v>750</v>
      </c>
      <c r="AJ125" s="242">
        <v>1500</v>
      </c>
      <c r="AK125" s="242">
        <v>125</v>
      </c>
      <c r="AL125" s="242"/>
      <c r="AM125" s="242"/>
      <c r="AN125" s="242"/>
      <c r="AO125" s="242"/>
      <c r="AP125" s="242"/>
      <c r="AQ125" s="242"/>
      <c r="AR125" s="242"/>
      <c r="AS125" s="242"/>
      <c r="AT125" s="278"/>
      <c r="AU125" s="278"/>
      <c r="AV125" s="278"/>
      <c r="AW125" s="278"/>
      <c r="AX125" s="278"/>
      <c r="AY125" s="293"/>
      <c r="AZ125" s="304">
        <v>0</v>
      </c>
    </row>
    <row r="126" spans="1:52" s="300" customFormat="1" ht="15.75" customHeight="1" x14ac:dyDescent="0.3">
      <c r="A126" s="290">
        <v>5</v>
      </c>
      <c r="B126" s="241" t="s">
        <v>153</v>
      </c>
      <c r="C126" s="242">
        <v>100</v>
      </c>
      <c r="D126" s="238">
        <f t="shared" si="16"/>
        <v>-100</v>
      </c>
      <c r="E126" s="243" t="s">
        <v>152</v>
      </c>
      <c r="F126" s="240">
        <f t="shared" si="11"/>
        <v>10472.622500000049</v>
      </c>
      <c r="G126" s="302"/>
      <c r="H126" s="302">
        <v>7850</v>
      </c>
      <c r="I126" s="303">
        <f>C126</f>
        <v>100</v>
      </c>
      <c r="J126" s="302"/>
      <c r="K126" s="298"/>
      <c r="L126" s="278"/>
      <c r="M126" s="278"/>
      <c r="N126" s="278"/>
      <c r="O126" s="278"/>
      <c r="P126" s="278"/>
      <c r="Q126" s="278"/>
      <c r="R126" s="278"/>
      <c r="S126" s="278"/>
      <c r="T126" s="278"/>
      <c r="U126" s="304">
        <f>SUM(I126)</f>
        <v>100</v>
      </c>
      <c r="V126" s="305"/>
      <c r="W126" s="242"/>
      <c r="X126" s="242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  <c r="AR126" s="242"/>
      <c r="AS126" s="242"/>
      <c r="AT126" s="278"/>
      <c r="AU126" s="278"/>
      <c r="AV126" s="278"/>
      <c r="AW126" s="278"/>
      <c r="AX126" s="278"/>
      <c r="AY126" s="293"/>
      <c r="AZ126" s="304">
        <f t="shared" si="21"/>
        <v>0</v>
      </c>
    </row>
    <row r="127" spans="1:52" s="300" customFormat="1" ht="15.75" customHeight="1" x14ac:dyDescent="0.3">
      <c r="A127" s="290">
        <v>5</v>
      </c>
      <c r="B127" s="244" t="s">
        <v>266</v>
      </c>
      <c r="C127" s="242">
        <f>SUM('CCD - Mnthly Bills'!C20)</f>
        <v>1523.3625000000002</v>
      </c>
      <c r="D127" s="238">
        <f t="shared" si="16"/>
        <v>-1523.3625000000002</v>
      </c>
      <c r="E127" s="243" t="s">
        <v>268</v>
      </c>
      <c r="F127" s="240">
        <f t="shared" si="11"/>
        <v>8949.2600000000493</v>
      </c>
      <c r="G127" s="302"/>
      <c r="H127" s="589" t="s">
        <v>264</v>
      </c>
      <c r="I127" s="589"/>
      <c r="J127" s="302"/>
      <c r="K127" s="298"/>
      <c r="L127" s="278"/>
      <c r="M127" s="278"/>
      <c r="N127" s="278"/>
      <c r="O127" s="278"/>
      <c r="P127" s="278"/>
      <c r="Q127" s="278"/>
      <c r="R127" s="278"/>
      <c r="S127" s="278"/>
      <c r="T127" s="278"/>
      <c r="U127" s="304"/>
      <c r="V127" s="305"/>
      <c r="W127" s="242">
        <f>SUM(W100)</f>
        <v>104.73750000000001</v>
      </c>
      <c r="X127" s="242"/>
      <c r="Y127" s="242">
        <f>SUM(Y100)</f>
        <v>778.6875</v>
      </c>
      <c r="Z127" s="242"/>
      <c r="AA127" s="242">
        <f>SUM(AA100)</f>
        <v>375</v>
      </c>
      <c r="AB127" s="242"/>
      <c r="AC127" s="242"/>
      <c r="AD127" s="242">
        <f>SUM(AD100)</f>
        <v>90</v>
      </c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>
        <f>SUM(AQ100)</f>
        <v>111.1875</v>
      </c>
      <c r="AR127" s="242">
        <f>SUM(AR100)</f>
        <v>63.75</v>
      </c>
      <c r="AS127" s="242"/>
      <c r="AT127" s="278"/>
      <c r="AU127" s="278"/>
      <c r="AV127" s="278"/>
      <c r="AW127" s="278"/>
      <c r="AX127" s="278"/>
      <c r="AY127" s="293"/>
      <c r="AZ127" s="304">
        <f t="shared" si="21"/>
        <v>0</v>
      </c>
    </row>
    <row r="128" spans="1:52" s="300" customFormat="1" ht="15.75" customHeight="1" x14ac:dyDescent="0.3">
      <c r="A128" s="290">
        <v>5</v>
      </c>
      <c r="B128" s="241" t="s">
        <v>150</v>
      </c>
      <c r="C128" s="242">
        <v>458.65</v>
      </c>
      <c r="D128" s="238">
        <f t="shared" si="16"/>
        <v>-458.65</v>
      </c>
      <c r="E128" s="243" t="s">
        <v>149</v>
      </c>
      <c r="F128" s="240">
        <f t="shared" si="11"/>
        <v>8490.6100000000497</v>
      </c>
      <c r="G128" s="302"/>
      <c r="H128" s="302">
        <v>7910</v>
      </c>
      <c r="I128" s="303">
        <f t="shared" ref="I128:I135" si="22">C128</f>
        <v>458.65</v>
      </c>
      <c r="J128" s="302"/>
      <c r="K128" s="298"/>
      <c r="L128" s="278"/>
      <c r="M128" s="278"/>
      <c r="N128" s="278"/>
      <c r="O128" s="278"/>
      <c r="P128" s="278"/>
      <c r="Q128" s="278"/>
      <c r="R128" s="278"/>
      <c r="S128" s="278"/>
      <c r="T128" s="278"/>
      <c r="U128" s="304"/>
      <c r="V128" s="305">
        <f>SUM(I128)</f>
        <v>458.65</v>
      </c>
      <c r="W128" s="242"/>
      <c r="X128" s="242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  <c r="AR128" s="242"/>
      <c r="AS128" s="242"/>
      <c r="AT128" s="278"/>
      <c r="AU128" s="278"/>
      <c r="AV128" s="278"/>
      <c r="AW128" s="278"/>
      <c r="AX128" s="278"/>
      <c r="AY128" s="293"/>
      <c r="AZ128" s="304">
        <f t="shared" si="21"/>
        <v>0</v>
      </c>
    </row>
    <row r="129" spans="1:52" s="300" customFormat="1" ht="15.75" customHeight="1" x14ac:dyDescent="0.3">
      <c r="A129" s="290">
        <v>5</v>
      </c>
      <c r="B129" s="241" t="s">
        <v>148</v>
      </c>
      <c r="C129" s="242">
        <v>150</v>
      </c>
      <c r="D129" s="238">
        <f t="shared" si="16"/>
        <v>-150</v>
      </c>
      <c r="E129" s="243" t="s">
        <v>147</v>
      </c>
      <c r="F129" s="240">
        <f t="shared" si="11"/>
        <v>8340.6100000000497</v>
      </c>
      <c r="G129" s="302"/>
      <c r="H129" s="302">
        <v>7950</v>
      </c>
      <c r="I129" s="303">
        <f t="shared" si="22"/>
        <v>150</v>
      </c>
      <c r="J129" s="302"/>
      <c r="K129" s="298"/>
      <c r="L129" s="278"/>
      <c r="M129" s="278"/>
      <c r="N129" s="278"/>
      <c r="O129" s="278"/>
      <c r="P129" s="278"/>
      <c r="Q129" s="278"/>
      <c r="R129" s="278"/>
      <c r="S129" s="278"/>
      <c r="T129" s="278"/>
      <c r="U129" s="304"/>
      <c r="V129" s="305"/>
      <c r="W129" s="242">
        <f>SUM(I129)</f>
        <v>150</v>
      </c>
      <c r="X129" s="242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  <c r="AR129" s="242"/>
      <c r="AS129" s="242"/>
      <c r="AT129" s="278"/>
      <c r="AU129" s="278"/>
      <c r="AV129" s="278"/>
      <c r="AW129" s="278"/>
      <c r="AX129" s="278"/>
      <c r="AY129" s="293"/>
      <c r="AZ129" s="304">
        <f t="shared" si="21"/>
        <v>0</v>
      </c>
    </row>
    <row r="130" spans="1:52" s="300" customFormat="1" ht="15.75" customHeight="1" x14ac:dyDescent="0.3">
      <c r="A130" s="290">
        <v>5</v>
      </c>
      <c r="B130" s="241" t="s">
        <v>146</v>
      </c>
      <c r="C130" s="242">
        <v>149.99</v>
      </c>
      <c r="D130" s="238">
        <f t="shared" si="16"/>
        <v>-149.99</v>
      </c>
      <c r="E130" s="243" t="s">
        <v>145</v>
      </c>
      <c r="F130" s="240">
        <f t="shared" si="11"/>
        <v>8190.6200000000499</v>
      </c>
      <c r="G130" s="302"/>
      <c r="H130" s="302">
        <v>7950</v>
      </c>
      <c r="I130" s="303">
        <f t="shared" si="22"/>
        <v>149.99</v>
      </c>
      <c r="J130" s="302"/>
      <c r="K130" s="298"/>
      <c r="L130" s="278"/>
      <c r="M130" s="278"/>
      <c r="N130" s="278"/>
      <c r="O130" s="278"/>
      <c r="P130" s="278"/>
      <c r="Q130" s="278"/>
      <c r="R130" s="278"/>
      <c r="S130" s="278"/>
      <c r="T130" s="278"/>
      <c r="U130" s="304"/>
      <c r="V130" s="305"/>
      <c r="W130" s="242">
        <f>SUM(I130)</f>
        <v>149.99</v>
      </c>
      <c r="X130" s="242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  <c r="AR130" s="242"/>
      <c r="AS130" s="242"/>
      <c r="AT130" s="278"/>
      <c r="AU130" s="278"/>
      <c r="AV130" s="278"/>
      <c r="AW130" s="278"/>
      <c r="AX130" s="278"/>
      <c r="AY130" s="293"/>
      <c r="AZ130" s="304">
        <f t="shared" si="21"/>
        <v>0</v>
      </c>
    </row>
    <row r="131" spans="1:52" s="300" customFormat="1" ht="15.75" customHeight="1" x14ac:dyDescent="0.3">
      <c r="A131" s="290">
        <v>5</v>
      </c>
      <c r="B131" s="241" t="s">
        <v>144</v>
      </c>
      <c r="C131" s="242">
        <v>300</v>
      </c>
      <c r="D131" s="238">
        <f t="shared" si="16"/>
        <v>-300</v>
      </c>
      <c r="E131" s="243" t="s">
        <v>138</v>
      </c>
      <c r="F131" s="240">
        <f t="shared" si="11"/>
        <v>7890.6200000000499</v>
      </c>
      <c r="G131" s="302"/>
      <c r="H131" s="302">
        <v>7950</v>
      </c>
      <c r="I131" s="303">
        <f t="shared" si="22"/>
        <v>300</v>
      </c>
      <c r="J131" s="302"/>
      <c r="K131" s="298"/>
      <c r="L131" s="278"/>
      <c r="M131" s="278"/>
      <c r="N131" s="278"/>
      <c r="O131" s="278"/>
      <c r="P131" s="278"/>
      <c r="Q131" s="278"/>
      <c r="R131" s="278"/>
      <c r="S131" s="278"/>
      <c r="T131" s="278"/>
      <c r="U131" s="304"/>
      <c r="V131" s="305"/>
      <c r="W131" s="242">
        <f>SUM(I131)</f>
        <v>300</v>
      </c>
      <c r="X131" s="242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  <c r="AR131" s="242"/>
      <c r="AS131" s="242"/>
      <c r="AT131" s="278"/>
      <c r="AU131" s="278"/>
      <c r="AV131" s="278"/>
      <c r="AW131" s="278"/>
      <c r="AX131" s="278"/>
      <c r="AY131" s="293"/>
      <c r="AZ131" s="304">
        <f t="shared" si="21"/>
        <v>0</v>
      </c>
    </row>
    <row r="132" spans="1:52" s="300" customFormat="1" ht="15.75" customHeight="1" x14ac:dyDescent="0.3">
      <c r="A132" s="290">
        <v>5</v>
      </c>
      <c r="B132" s="244" t="s">
        <v>143</v>
      </c>
      <c r="C132" s="242">
        <v>75</v>
      </c>
      <c r="D132" s="238">
        <f t="shared" si="16"/>
        <v>-75</v>
      </c>
      <c r="E132" s="243" t="s">
        <v>138</v>
      </c>
      <c r="F132" s="240">
        <f t="shared" si="11"/>
        <v>7815.6200000000499</v>
      </c>
      <c r="G132" s="302"/>
      <c r="H132" s="302">
        <v>7950</v>
      </c>
      <c r="I132" s="303">
        <f t="shared" si="22"/>
        <v>75</v>
      </c>
      <c r="J132" s="302"/>
      <c r="K132" s="298"/>
      <c r="L132" s="278"/>
      <c r="M132" s="278"/>
      <c r="N132" s="278"/>
      <c r="O132" s="278"/>
      <c r="P132" s="278"/>
      <c r="Q132" s="278"/>
      <c r="R132" s="278"/>
      <c r="S132" s="278"/>
      <c r="T132" s="278"/>
      <c r="U132" s="304"/>
      <c r="V132" s="305"/>
      <c r="W132" s="242">
        <f>SUM(I132)</f>
        <v>75</v>
      </c>
      <c r="X132" s="242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  <c r="AR132" s="242"/>
      <c r="AS132" s="242"/>
      <c r="AT132" s="278"/>
      <c r="AU132" s="278"/>
      <c r="AV132" s="278"/>
      <c r="AW132" s="278"/>
      <c r="AX132" s="278"/>
      <c r="AY132" s="293"/>
      <c r="AZ132" s="304">
        <f t="shared" si="21"/>
        <v>0</v>
      </c>
    </row>
    <row r="133" spans="1:52" s="300" customFormat="1" ht="15.75" customHeight="1" x14ac:dyDescent="0.3">
      <c r="A133" s="290">
        <v>5</v>
      </c>
      <c r="B133" s="241" t="s">
        <v>142</v>
      </c>
      <c r="C133" s="242">
        <v>2500</v>
      </c>
      <c r="D133" s="238">
        <f t="shared" si="16"/>
        <v>-2500</v>
      </c>
      <c r="E133" s="243" t="s">
        <v>140</v>
      </c>
      <c r="F133" s="240">
        <f t="shared" si="11"/>
        <v>5315.6200000000499</v>
      </c>
      <c r="G133" s="302"/>
      <c r="H133" s="302">
        <v>5710</v>
      </c>
      <c r="I133" s="303">
        <f t="shared" si="22"/>
        <v>2500</v>
      </c>
      <c r="J133" s="302"/>
      <c r="K133" s="298"/>
      <c r="L133" s="278"/>
      <c r="M133" s="278"/>
      <c r="N133" s="278"/>
      <c r="O133" s="278"/>
      <c r="P133" s="278"/>
      <c r="Q133" s="278"/>
      <c r="R133" s="278"/>
      <c r="S133" s="278"/>
      <c r="T133" s="278"/>
      <c r="U133" s="304"/>
      <c r="V133" s="305"/>
      <c r="W133" s="242"/>
      <c r="X133" s="242"/>
      <c r="Y133" s="242"/>
      <c r="Z133" s="242">
        <f>SUM(I133)</f>
        <v>2500</v>
      </c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  <c r="AR133" s="242"/>
      <c r="AS133" s="242"/>
      <c r="AT133" s="278"/>
      <c r="AU133" s="278"/>
      <c r="AV133" s="278"/>
      <c r="AW133" s="278"/>
      <c r="AX133" s="278"/>
      <c r="AY133" s="293"/>
      <c r="AZ133" s="304">
        <f t="shared" si="21"/>
        <v>0</v>
      </c>
    </row>
    <row r="134" spans="1:52" s="300" customFormat="1" ht="15.75" customHeight="1" x14ac:dyDescent="0.3">
      <c r="A134" s="290">
        <v>5</v>
      </c>
      <c r="B134" s="241" t="s">
        <v>141</v>
      </c>
      <c r="C134" s="242">
        <v>1080</v>
      </c>
      <c r="D134" s="238">
        <f t="shared" si="16"/>
        <v>-1080</v>
      </c>
      <c r="E134" s="243" t="s">
        <v>140</v>
      </c>
      <c r="F134" s="240">
        <f t="shared" ref="F134:F165" si="23">SUM(F133+D134)</f>
        <v>4235.6200000000499</v>
      </c>
      <c r="G134" s="302"/>
      <c r="H134" s="302">
        <v>6730</v>
      </c>
      <c r="I134" s="303">
        <f t="shared" si="22"/>
        <v>1080</v>
      </c>
      <c r="J134" s="302"/>
      <c r="K134" s="298"/>
      <c r="L134" s="278"/>
      <c r="M134" s="278"/>
      <c r="N134" s="278"/>
      <c r="O134" s="278"/>
      <c r="P134" s="278"/>
      <c r="Q134" s="278"/>
      <c r="R134" s="278"/>
      <c r="S134" s="278"/>
      <c r="T134" s="278"/>
      <c r="U134" s="304"/>
      <c r="V134" s="305"/>
      <c r="W134" s="242"/>
      <c r="X134" s="242">
        <f>SUM(I134)</f>
        <v>1080</v>
      </c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  <c r="AR134" s="242"/>
      <c r="AS134" s="242"/>
      <c r="AT134" s="278"/>
      <c r="AU134" s="278"/>
      <c r="AV134" s="278"/>
      <c r="AW134" s="278"/>
      <c r="AX134" s="278"/>
      <c r="AY134" s="293"/>
      <c r="AZ134" s="304">
        <f t="shared" si="21"/>
        <v>0</v>
      </c>
    </row>
    <row r="135" spans="1:52" s="300" customFormat="1" ht="15.75" customHeight="1" thickBot="1" x14ac:dyDescent="0.35">
      <c r="A135" s="320">
        <v>5</v>
      </c>
      <c r="B135" s="250" t="s">
        <v>178</v>
      </c>
      <c r="C135" s="251">
        <v>0</v>
      </c>
      <c r="D135" s="252">
        <f t="shared" ref="D135" si="24">SUM(C135*-1)</f>
        <v>0</v>
      </c>
      <c r="E135" s="253" t="s">
        <v>362</v>
      </c>
      <c r="F135" s="254">
        <f t="shared" si="23"/>
        <v>4235.6200000000499</v>
      </c>
      <c r="G135" s="302"/>
      <c r="H135" s="302">
        <v>5130</v>
      </c>
      <c r="I135" s="303">
        <f t="shared" si="22"/>
        <v>0</v>
      </c>
      <c r="J135" s="302"/>
      <c r="K135" s="298"/>
      <c r="L135" s="278"/>
      <c r="M135" s="278"/>
      <c r="N135" s="278"/>
      <c r="O135" s="278"/>
      <c r="P135" s="278"/>
      <c r="Q135" s="278"/>
      <c r="R135" s="278"/>
      <c r="S135" s="278"/>
      <c r="T135" s="278"/>
      <c r="U135" s="307"/>
      <c r="V135" s="308"/>
      <c r="W135" s="308"/>
      <c r="X135" s="308"/>
      <c r="Y135" s="308"/>
      <c r="Z135" s="308"/>
      <c r="AA135" s="308">
        <f>SUM(I135)</f>
        <v>0</v>
      </c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9"/>
      <c r="AU135" s="309"/>
      <c r="AV135" s="309"/>
      <c r="AW135" s="309"/>
      <c r="AX135" s="309"/>
      <c r="AY135" s="309"/>
      <c r="AZ135" s="307">
        <f t="shared" si="21"/>
        <v>0</v>
      </c>
    </row>
    <row r="136" spans="1:52" s="300" customFormat="1" ht="15.75" customHeight="1" x14ac:dyDescent="0.3">
      <c r="A136" s="290"/>
      <c r="B136" s="241"/>
      <c r="C136" s="242"/>
      <c r="D136" s="238"/>
      <c r="E136" s="245" t="s">
        <v>286</v>
      </c>
      <c r="F136" s="240">
        <f t="shared" si="23"/>
        <v>4235.6200000000499</v>
      </c>
      <c r="G136" s="302"/>
      <c r="H136" s="302"/>
      <c r="I136" s="303"/>
      <c r="J136" s="302"/>
      <c r="K136" s="298"/>
      <c r="L136" s="278"/>
      <c r="M136" s="278"/>
      <c r="N136" s="278"/>
      <c r="O136" s="278"/>
      <c r="P136" s="278"/>
      <c r="Q136" s="278"/>
      <c r="R136" s="278"/>
      <c r="S136" s="278"/>
      <c r="T136" s="278"/>
      <c r="U136" s="310">
        <f t="shared" ref="U136:AY136" si="25">SUM(U111:U135)</f>
        <v>294.95</v>
      </c>
      <c r="V136" s="311">
        <f t="shared" si="25"/>
        <v>458.65</v>
      </c>
      <c r="W136" s="311">
        <f t="shared" si="25"/>
        <v>1029.7275</v>
      </c>
      <c r="X136" s="311">
        <f t="shared" si="25"/>
        <v>1080</v>
      </c>
      <c r="Y136" s="311">
        <f t="shared" si="25"/>
        <v>778.6875</v>
      </c>
      <c r="Z136" s="311">
        <f t="shared" si="25"/>
        <v>2500</v>
      </c>
      <c r="AA136" s="311">
        <f t="shared" si="25"/>
        <v>375</v>
      </c>
      <c r="AB136" s="311">
        <f t="shared" si="25"/>
        <v>7500</v>
      </c>
      <c r="AC136" s="311">
        <f t="shared" si="25"/>
        <v>2350</v>
      </c>
      <c r="AD136" s="311">
        <f t="shared" si="25"/>
        <v>1674</v>
      </c>
      <c r="AE136" s="311">
        <f t="shared" si="25"/>
        <v>8333</v>
      </c>
      <c r="AF136" s="311">
        <f t="shared" si="25"/>
        <v>150</v>
      </c>
      <c r="AG136" s="311">
        <f t="shared" si="25"/>
        <v>2020</v>
      </c>
      <c r="AH136" s="311">
        <f t="shared" si="25"/>
        <v>20000</v>
      </c>
      <c r="AI136" s="311">
        <f t="shared" si="25"/>
        <v>1500</v>
      </c>
      <c r="AJ136" s="311">
        <f t="shared" si="25"/>
        <v>3000</v>
      </c>
      <c r="AK136" s="311">
        <f t="shared" si="25"/>
        <v>250</v>
      </c>
      <c r="AL136" s="311">
        <f t="shared" si="25"/>
        <v>0</v>
      </c>
      <c r="AM136" s="311">
        <f t="shared" si="25"/>
        <v>200</v>
      </c>
      <c r="AN136" s="311">
        <f t="shared" si="25"/>
        <v>625</v>
      </c>
      <c r="AO136" s="311">
        <f t="shared" si="25"/>
        <v>0</v>
      </c>
      <c r="AP136" s="311">
        <f t="shared" si="25"/>
        <v>1833.35</v>
      </c>
      <c r="AQ136" s="311">
        <f t="shared" si="25"/>
        <v>111.1875</v>
      </c>
      <c r="AR136" s="311">
        <f t="shared" si="25"/>
        <v>63.75</v>
      </c>
      <c r="AS136" s="311">
        <f t="shared" si="25"/>
        <v>0</v>
      </c>
      <c r="AT136" s="311">
        <f t="shared" si="25"/>
        <v>0</v>
      </c>
      <c r="AU136" s="311">
        <f t="shared" si="25"/>
        <v>0</v>
      </c>
      <c r="AV136" s="311">
        <f t="shared" si="25"/>
        <v>0</v>
      </c>
      <c r="AW136" s="311">
        <f t="shared" si="25"/>
        <v>0</v>
      </c>
      <c r="AX136" s="311">
        <f t="shared" si="25"/>
        <v>5000</v>
      </c>
      <c r="AY136" s="311">
        <f t="shared" si="25"/>
        <v>1750</v>
      </c>
      <c r="AZ136" s="304"/>
    </row>
    <row r="137" spans="1:52" s="300" customFormat="1" ht="15.75" customHeight="1" x14ac:dyDescent="0.3">
      <c r="A137" s="397">
        <v>6</v>
      </c>
      <c r="B137" s="398" t="s">
        <v>388</v>
      </c>
      <c r="C137" s="399">
        <f>C111</f>
        <v>5000</v>
      </c>
      <c r="D137" s="400">
        <f t="shared" ref="D137" si="26">SUM(C137*-1)</f>
        <v>-5000</v>
      </c>
      <c r="E137" s="401" t="s">
        <v>390</v>
      </c>
      <c r="F137" s="402">
        <f t="shared" si="23"/>
        <v>-764.37999999995009</v>
      </c>
      <c r="G137" s="302"/>
      <c r="H137" s="302"/>
      <c r="I137" s="303"/>
      <c r="J137" s="302"/>
      <c r="K137" s="298"/>
      <c r="L137" s="278"/>
      <c r="M137" s="278"/>
      <c r="N137" s="278"/>
      <c r="O137" s="278"/>
      <c r="P137" s="278"/>
      <c r="Q137" s="278"/>
      <c r="R137" s="278"/>
      <c r="S137" s="278"/>
      <c r="T137" s="278"/>
      <c r="U137" s="304"/>
      <c r="V137" s="305"/>
      <c r="W137" s="242"/>
      <c r="X137" s="242"/>
      <c r="Y137" s="242"/>
      <c r="Z137" s="242"/>
      <c r="AA137" s="242"/>
      <c r="AB137" s="242"/>
      <c r="AC137" s="242"/>
      <c r="AD137" s="242"/>
      <c r="AE137" s="242"/>
      <c r="AF137" s="242"/>
      <c r="AG137" s="242"/>
      <c r="AH137" s="242"/>
      <c r="AI137" s="242"/>
      <c r="AJ137" s="242"/>
      <c r="AK137" s="242"/>
      <c r="AL137" s="242"/>
      <c r="AM137" s="242"/>
      <c r="AN137" s="242"/>
      <c r="AO137" s="242"/>
      <c r="AP137" s="242"/>
      <c r="AQ137" s="242"/>
      <c r="AR137" s="242"/>
      <c r="AS137" s="242"/>
      <c r="AT137" s="278"/>
      <c r="AU137" s="278"/>
      <c r="AV137" s="278"/>
      <c r="AW137" s="278"/>
      <c r="AX137" s="242">
        <f>SUM(C137)</f>
        <v>5000</v>
      </c>
      <c r="AY137" s="293"/>
      <c r="AZ137" s="304"/>
    </row>
    <row r="138" spans="1:52" s="300" customFormat="1" ht="15.75" customHeight="1" x14ac:dyDescent="0.3">
      <c r="A138" s="290">
        <v>6</v>
      </c>
      <c r="B138" s="241" t="s">
        <v>177</v>
      </c>
      <c r="C138" s="242">
        <v>2000</v>
      </c>
      <c r="D138" s="238">
        <f t="shared" si="16"/>
        <v>-2000</v>
      </c>
      <c r="E138" s="243" t="s">
        <v>170</v>
      </c>
      <c r="F138" s="240">
        <f t="shared" si="23"/>
        <v>-2764.3799999999501</v>
      </c>
      <c r="G138" s="332"/>
      <c r="H138" s="302"/>
      <c r="I138" s="303"/>
      <c r="J138" s="302"/>
      <c r="K138" s="298"/>
      <c r="L138" s="278"/>
      <c r="M138" s="278"/>
      <c r="N138" s="278"/>
      <c r="O138" s="278"/>
      <c r="P138" s="278"/>
      <c r="Q138" s="278"/>
      <c r="R138" s="278"/>
      <c r="S138" s="278"/>
      <c r="T138" s="278"/>
      <c r="U138" s="304"/>
      <c r="V138" s="305"/>
      <c r="W138" s="242">
        <v>250</v>
      </c>
      <c r="X138" s="242"/>
      <c r="Y138" s="242"/>
      <c r="Z138" s="242"/>
      <c r="AA138" s="242"/>
      <c r="AB138" s="242"/>
      <c r="AC138" s="242"/>
      <c r="AD138" s="242"/>
      <c r="AE138" s="242"/>
      <c r="AF138" s="242"/>
      <c r="AG138" s="242"/>
      <c r="AH138" s="242"/>
      <c r="AI138" s="242"/>
      <c r="AJ138" s="242"/>
      <c r="AK138" s="242"/>
      <c r="AL138" s="242"/>
      <c r="AM138" s="242"/>
      <c r="AN138" s="242"/>
      <c r="AO138" s="242"/>
      <c r="AP138" s="242"/>
      <c r="AQ138" s="242"/>
      <c r="AR138" s="242"/>
      <c r="AS138" s="242"/>
      <c r="AT138" s="278"/>
      <c r="AU138" s="278"/>
      <c r="AV138" s="278"/>
      <c r="AW138" s="278"/>
      <c r="AX138" s="278"/>
      <c r="AY138" s="305">
        <v>1750</v>
      </c>
      <c r="AZ138" s="304">
        <f t="shared" si="21"/>
        <v>0</v>
      </c>
    </row>
    <row r="139" spans="1:52" s="300" customFormat="1" ht="15.75" customHeight="1" x14ac:dyDescent="0.3">
      <c r="A139" s="290">
        <v>6</v>
      </c>
      <c r="B139" s="241" t="s">
        <v>176</v>
      </c>
      <c r="C139" s="242">
        <v>7500</v>
      </c>
      <c r="D139" s="238">
        <f t="shared" si="16"/>
        <v>-7500</v>
      </c>
      <c r="E139" s="243" t="s">
        <v>170</v>
      </c>
      <c r="F139" s="240">
        <f t="shared" si="23"/>
        <v>-10264.37999999995</v>
      </c>
      <c r="G139" s="332"/>
      <c r="H139" s="302">
        <v>5510</v>
      </c>
      <c r="I139" s="303">
        <f>C139</f>
        <v>7500</v>
      </c>
      <c r="J139" s="302"/>
      <c r="K139" s="298"/>
      <c r="L139" s="278"/>
      <c r="M139" s="278"/>
      <c r="N139" s="278"/>
      <c r="O139" s="278"/>
      <c r="P139" s="278"/>
      <c r="Q139" s="278"/>
      <c r="R139" s="278"/>
      <c r="S139" s="278"/>
      <c r="T139" s="278"/>
      <c r="U139" s="304"/>
      <c r="V139" s="305"/>
      <c r="W139" s="242"/>
      <c r="X139" s="242"/>
      <c r="Y139" s="242"/>
      <c r="Z139" s="242"/>
      <c r="AA139" s="242"/>
      <c r="AB139" s="242">
        <f>SUM(I139)</f>
        <v>7500</v>
      </c>
      <c r="AC139" s="242"/>
      <c r="AD139" s="242"/>
      <c r="AE139" s="242"/>
      <c r="AF139" s="242"/>
      <c r="AG139" s="242"/>
      <c r="AH139" s="242"/>
      <c r="AI139" s="242"/>
      <c r="AJ139" s="242"/>
      <c r="AK139" s="242"/>
      <c r="AL139" s="242"/>
      <c r="AM139" s="242"/>
      <c r="AN139" s="242"/>
      <c r="AO139" s="242"/>
      <c r="AP139" s="242"/>
      <c r="AQ139" s="242"/>
      <c r="AR139" s="242"/>
      <c r="AS139" s="242"/>
      <c r="AT139" s="278"/>
      <c r="AU139" s="278"/>
      <c r="AV139" s="278"/>
      <c r="AW139" s="278"/>
      <c r="AX139" s="278"/>
      <c r="AY139" s="293"/>
      <c r="AZ139" s="304">
        <f t="shared" si="21"/>
        <v>0</v>
      </c>
    </row>
    <row r="140" spans="1:52" s="300" customFormat="1" ht="15.75" customHeight="1" x14ac:dyDescent="0.3">
      <c r="A140" s="290">
        <v>6</v>
      </c>
      <c r="B140" s="241" t="s">
        <v>175</v>
      </c>
      <c r="C140" s="242">
        <v>550</v>
      </c>
      <c r="D140" s="238">
        <f t="shared" si="16"/>
        <v>-550</v>
      </c>
      <c r="E140" s="243" t="s">
        <v>170</v>
      </c>
      <c r="F140" s="240">
        <f t="shared" si="23"/>
        <v>-10814.37999999995</v>
      </c>
      <c r="G140" s="332"/>
      <c r="H140" s="302">
        <v>7650</v>
      </c>
      <c r="I140" s="303">
        <f>C140</f>
        <v>550</v>
      </c>
      <c r="J140" s="302"/>
      <c r="K140" s="298"/>
      <c r="L140" s="278"/>
      <c r="M140" s="278"/>
      <c r="N140" s="278"/>
      <c r="O140" s="278"/>
      <c r="P140" s="278"/>
      <c r="Q140" s="278"/>
      <c r="R140" s="278"/>
      <c r="S140" s="278"/>
      <c r="T140" s="278"/>
      <c r="U140" s="304"/>
      <c r="V140" s="305"/>
      <c r="W140" s="242"/>
      <c r="X140" s="242"/>
      <c r="Y140" s="242"/>
      <c r="Z140" s="242"/>
      <c r="AA140" s="242"/>
      <c r="AB140" s="242"/>
      <c r="AC140" s="242">
        <f>SUM(I140)</f>
        <v>550</v>
      </c>
      <c r="AD140" s="242"/>
      <c r="AE140" s="242"/>
      <c r="AF140" s="242"/>
      <c r="AG140" s="242"/>
      <c r="AH140" s="242"/>
      <c r="AI140" s="242"/>
      <c r="AJ140" s="242"/>
      <c r="AK140" s="242"/>
      <c r="AL140" s="242"/>
      <c r="AM140" s="242"/>
      <c r="AN140" s="242"/>
      <c r="AO140" s="242"/>
      <c r="AP140" s="242"/>
      <c r="AQ140" s="242"/>
      <c r="AR140" s="242"/>
      <c r="AS140" s="242"/>
      <c r="AT140" s="278"/>
      <c r="AU140" s="278"/>
      <c r="AV140" s="278"/>
      <c r="AW140" s="278"/>
      <c r="AX140" s="278"/>
      <c r="AY140" s="293"/>
      <c r="AZ140" s="304">
        <f t="shared" si="21"/>
        <v>0</v>
      </c>
    </row>
    <row r="141" spans="1:52" s="300" customFormat="1" ht="15.75" customHeight="1" x14ac:dyDescent="0.3">
      <c r="A141" s="330">
        <v>6</v>
      </c>
      <c r="B141" s="260" t="s">
        <v>174</v>
      </c>
      <c r="C141" s="261">
        <v>1800</v>
      </c>
      <c r="D141" s="262">
        <f t="shared" si="16"/>
        <v>-1800</v>
      </c>
      <c r="E141" s="263" t="s">
        <v>173</v>
      </c>
      <c r="F141" s="264">
        <f t="shared" si="23"/>
        <v>-12614.37999999995</v>
      </c>
      <c r="G141" s="332"/>
      <c r="H141" s="302">
        <v>7650</v>
      </c>
      <c r="I141" s="303">
        <f>C141</f>
        <v>1800</v>
      </c>
      <c r="J141" s="302"/>
      <c r="K141" s="298"/>
      <c r="L141" s="278"/>
      <c r="M141" s="278"/>
      <c r="N141" s="278"/>
      <c r="O141" s="278"/>
      <c r="P141" s="278"/>
      <c r="Q141" s="278"/>
      <c r="R141" s="278"/>
      <c r="S141" s="278"/>
      <c r="T141" s="278"/>
      <c r="U141" s="304"/>
      <c r="V141" s="305"/>
      <c r="W141" s="242"/>
      <c r="X141" s="242"/>
      <c r="Y141" s="242"/>
      <c r="Z141" s="242"/>
      <c r="AA141" s="242"/>
      <c r="AB141" s="242"/>
      <c r="AC141" s="242">
        <f>SUM(I141)</f>
        <v>1800</v>
      </c>
      <c r="AD141" s="242"/>
      <c r="AE141" s="242"/>
      <c r="AF141" s="242"/>
      <c r="AG141" s="242"/>
      <c r="AH141" s="242"/>
      <c r="AI141" s="242"/>
      <c r="AJ141" s="242"/>
      <c r="AK141" s="242"/>
      <c r="AL141" s="242"/>
      <c r="AM141" s="242"/>
      <c r="AN141" s="242"/>
      <c r="AO141" s="242"/>
      <c r="AP141" s="242"/>
      <c r="AQ141" s="242"/>
      <c r="AR141" s="242"/>
      <c r="AS141" s="242"/>
      <c r="AT141" s="278"/>
      <c r="AU141" s="278"/>
      <c r="AV141" s="278"/>
      <c r="AW141" s="278"/>
      <c r="AX141" s="278"/>
      <c r="AY141" s="293"/>
      <c r="AZ141" s="304">
        <f t="shared" si="21"/>
        <v>0</v>
      </c>
    </row>
    <row r="142" spans="1:52" s="300" customFormat="1" ht="15.75" customHeight="1" x14ac:dyDescent="0.3">
      <c r="A142" s="321">
        <v>6</v>
      </c>
      <c r="B142" s="255" t="s">
        <v>172</v>
      </c>
      <c r="C142" s="256">
        <v>9917</v>
      </c>
      <c r="D142" s="257">
        <f t="shared" si="16"/>
        <v>-9917</v>
      </c>
      <c r="E142" s="259" t="s">
        <v>359</v>
      </c>
      <c r="F142" s="240">
        <f t="shared" si="23"/>
        <v>-22531.37999999995</v>
      </c>
      <c r="G142" s="332"/>
      <c r="H142" s="302">
        <v>5750</v>
      </c>
      <c r="I142" s="313">
        <v>1584</v>
      </c>
      <c r="J142" s="302">
        <v>5520</v>
      </c>
      <c r="K142" s="298">
        <v>8333</v>
      </c>
      <c r="L142" s="278"/>
      <c r="M142" s="278"/>
      <c r="N142" s="278"/>
      <c r="O142" s="278"/>
      <c r="P142" s="278"/>
      <c r="Q142" s="278"/>
      <c r="R142" s="278"/>
      <c r="S142" s="278"/>
      <c r="T142" s="278"/>
      <c r="U142" s="304"/>
      <c r="V142" s="305"/>
      <c r="W142" s="242"/>
      <c r="X142" s="242"/>
      <c r="Y142" s="242"/>
      <c r="Z142" s="242"/>
      <c r="AA142" s="242"/>
      <c r="AB142" s="242"/>
      <c r="AC142" s="242"/>
      <c r="AD142" s="242">
        <f>SUM(I142)</f>
        <v>1584</v>
      </c>
      <c r="AE142" s="242">
        <f>SUM(K142)</f>
        <v>8333</v>
      </c>
      <c r="AF142" s="242"/>
      <c r="AG142" s="242"/>
      <c r="AH142" s="242"/>
      <c r="AI142" s="242"/>
      <c r="AJ142" s="242"/>
      <c r="AK142" s="242"/>
      <c r="AL142" s="242"/>
      <c r="AM142" s="242"/>
      <c r="AN142" s="242"/>
      <c r="AO142" s="242"/>
      <c r="AP142" s="242"/>
      <c r="AQ142" s="242"/>
      <c r="AR142" s="242"/>
      <c r="AS142" s="242"/>
      <c r="AT142" s="278"/>
      <c r="AU142" s="278"/>
      <c r="AV142" s="278"/>
      <c r="AW142" s="278"/>
      <c r="AX142" s="278"/>
      <c r="AY142" s="293"/>
      <c r="AZ142" s="304">
        <f t="shared" si="21"/>
        <v>0</v>
      </c>
    </row>
    <row r="143" spans="1:52" s="300" customFormat="1" ht="15.75" customHeight="1" x14ac:dyDescent="0.3">
      <c r="A143" s="290">
        <v>6</v>
      </c>
      <c r="B143" s="241" t="s">
        <v>171</v>
      </c>
      <c r="C143" s="242">
        <v>34.950000000000003</v>
      </c>
      <c r="D143" s="238">
        <f t="shared" si="16"/>
        <v>-34.950000000000003</v>
      </c>
      <c r="E143" s="243" t="s">
        <v>170</v>
      </c>
      <c r="F143" s="240">
        <f t="shared" si="23"/>
        <v>-22566.329999999951</v>
      </c>
      <c r="G143" s="332"/>
      <c r="H143" s="302">
        <v>7850</v>
      </c>
      <c r="I143" s="303">
        <f>C143</f>
        <v>34.950000000000003</v>
      </c>
      <c r="J143" s="302"/>
      <c r="K143" s="298"/>
      <c r="L143" s="278"/>
      <c r="M143" s="278"/>
      <c r="N143" s="278"/>
      <c r="O143" s="278"/>
      <c r="P143" s="278"/>
      <c r="Q143" s="278"/>
      <c r="R143" s="278"/>
      <c r="S143" s="278"/>
      <c r="T143" s="278"/>
      <c r="U143" s="304">
        <f>SUM(I143)</f>
        <v>34.950000000000003</v>
      </c>
      <c r="V143" s="305"/>
      <c r="W143" s="242"/>
      <c r="X143" s="242"/>
      <c r="Y143" s="242"/>
      <c r="Z143" s="242"/>
      <c r="AA143" s="242"/>
      <c r="AB143" s="242"/>
      <c r="AC143" s="242"/>
      <c r="AD143" s="242"/>
      <c r="AE143" s="242"/>
      <c r="AF143" s="242"/>
      <c r="AG143" s="242"/>
      <c r="AH143" s="242"/>
      <c r="AI143" s="242"/>
      <c r="AJ143" s="242"/>
      <c r="AK143" s="242"/>
      <c r="AL143" s="242"/>
      <c r="AM143" s="242"/>
      <c r="AN143" s="242"/>
      <c r="AO143" s="242"/>
      <c r="AP143" s="242"/>
      <c r="AQ143" s="242"/>
      <c r="AR143" s="242"/>
      <c r="AS143" s="242"/>
      <c r="AT143" s="278"/>
      <c r="AU143" s="278"/>
      <c r="AV143" s="278"/>
      <c r="AW143" s="278"/>
      <c r="AX143" s="278"/>
      <c r="AY143" s="293"/>
      <c r="AZ143" s="304">
        <f t="shared" si="21"/>
        <v>0</v>
      </c>
    </row>
    <row r="144" spans="1:52" s="300" customFormat="1" ht="15.75" customHeight="1" x14ac:dyDescent="0.3">
      <c r="A144" s="290">
        <v>6</v>
      </c>
      <c r="B144" s="241" t="s">
        <v>169</v>
      </c>
      <c r="C144" s="242">
        <v>150</v>
      </c>
      <c r="D144" s="238">
        <f t="shared" si="16"/>
        <v>-150</v>
      </c>
      <c r="E144" s="243" t="s">
        <v>168</v>
      </c>
      <c r="F144" s="240">
        <f t="shared" si="23"/>
        <v>-22716.329999999951</v>
      </c>
      <c r="G144" s="332"/>
      <c r="H144" s="302">
        <v>7090</v>
      </c>
      <c r="I144" s="303">
        <f>C144</f>
        <v>150</v>
      </c>
      <c r="J144" s="302"/>
      <c r="K144" s="298"/>
      <c r="L144" s="278"/>
      <c r="M144" s="278"/>
      <c r="N144" s="278"/>
      <c r="O144" s="278"/>
      <c r="P144" s="278"/>
      <c r="Q144" s="278"/>
      <c r="R144" s="278"/>
      <c r="S144" s="278"/>
      <c r="T144" s="278"/>
      <c r="U144" s="304"/>
      <c r="V144" s="305"/>
      <c r="W144" s="242"/>
      <c r="X144" s="242"/>
      <c r="Y144" s="242"/>
      <c r="Z144" s="242"/>
      <c r="AA144" s="242"/>
      <c r="AB144" s="242"/>
      <c r="AC144" s="242"/>
      <c r="AD144" s="242"/>
      <c r="AE144" s="242"/>
      <c r="AF144" s="242">
        <f>SUM(I144)</f>
        <v>150</v>
      </c>
      <c r="AG144" s="242"/>
      <c r="AH144" s="242"/>
      <c r="AI144" s="242"/>
      <c r="AJ144" s="242"/>
      <c r="AK144" s="242"/>
      <c r="AL144" s="242"/>
      <c r="AM144" s="242"/>
      <c r="AN144" s="242"/>
      <c r="AO144" s="242"/>
      <c r="AP144" s="242"/>
      <c r="AQ144" s="242"/>
      <c r="AR144" s="242"/>
      <c r="AS144" s="242"/>
      <c r="AT144" s="278"/>
      <c r="AU144" s="278"/>
      <c r="AV144" s="278"/>
      <c r="AW144" s="278"/>
      <c r="AX144" s="278"/>
      <c r="AY144" s="293"/>
      <c r="AZ144" s="304">
        <f t="shared" si="21"/>
        <v>0</v>
      </c>
    </row>
    <row r="145" spans="1:52" s="300" customFormat="1" ht="15.75" customHeight="1" x14ac:dyDescent="0.3">
      <c r="A145" s="290">
        <v>6</v>
      </c>
      <c r="B145" s="241" t="s">
        <v>155</v>
      </c>
      <c r="C145" s="242">
        <v>13385</v>
      </c>
      <c r="D145" s="238">
        <v>-13385</v>
      </c>
      <c r="E145" s="243">
        <v>43895</v>
      </c>
      <c r="F145" s="240">
        <f t="shared" si="23"/>
        <v>-36101.329999999951</v>
      </c>
      <c r="G145" s="302"/>
      <c r="H145" s="302">
        <v>8570</v>
      </c>
      <c r="I145" s="313">
        <v>1010</v>
      </c>
      <c r="J145" s="302" t="s">
        <v>207</v>
      </c>
      <c r="K145" s="298" t="s">
        <v>207</v>
      </c>
      <c r="L145" s="278">
        <v>8510</v>
      </c>
      <c r="M145" s="298">
        <v>10000</v>
      </c>
      <c r="N145" s="314">
        <v>8520</v>
      </c>
      <c r="O145" s="298">
        <v>750</v>
      </c>
      <c r="P145" s="314">
        <v>8530</v>
      </c>
      <c r="Q145" s="315">
        <v>1500</v>
      </c>
      <c r="R145" s="314">
        <v>8590</v>
      </c>
      <c r="S145" s="298">
        <v>125</v>
      </c>
      <c r="T145" s="316">
        <v>13385</v>
      </c>
      <c r="U145" s="304"/>
      <c r="V145" s="305"/>
      <c r="W145" s="242"/>
      <c r="X145" s="242"/>
      <c r="Y145" s="242"/>
      <c r="Z145" s="242"/>
      <c r="AA145" s="242"/>
      <c r="AB145" s="242"/>
      <c r="AC145" s="242"/>
      <c r="AD145" s="242"/>
      <c r="AE145" s="242"/>
      <c r="AF145" s="242"/>
      <c r="AG145" s="242">
        <v>1010</v>
      </c>
      <c r="AH145" s="242">
        <v>10000</v>
      </c>
      <c r="AI145" s="242">
        <v>750</v>
      </c>
      <c r="AJ145" s="242">
        <v>1500</v>
      </c>
      <c r="AK145" s="242">
        <v>125</v>
      </c>
      <c r="AL145" s="242"/>
      <c r="AM145" s="242"/>
      <c r="AN145" s="242"/>
      <c r="AO145" s="242"/>
      <c r="AP145" s="242"/>
      <c r="AQ145" s="242"/>
      <c r="AR145" s="242"/>
      <c r="AS145" s="242"/>
      <c r="AT145" s="278"/>
      <c r="AU145" s="278"/>
      <c r="AV145" s="278"/>
      <c r="AW145" s="278"/>
      <c r="AX145" s="278"/>
      <c r="AY145" s="293"/>
      <c r="AZ145" s="304">
        <v>0</v>
      </c>
    </row>
    <row r="146" spans="1:52" s="300" customFormat="1" ht="15.75" customHeight="1" x14ac:dyDescent="0.3">
      <c r="A146" s="290">
        <v>6</v>
      </c>
      <c r="B146" s="241" t="s">
        <v>153</v>
      </c>
      <c r="C146" s="242">
        <v>100</v>
      </c>
      <c r="D146" s="238">
        <f t="shared" si="16"/>
        <v>-100</v>
      </c>
      <c r="E146" s="243" t="s">
        <v>166</v>
      </c>
      <c r="F146" s="240">
        <f t="shared" si="23"/>
        <v>-36201.329999999951</v>
      </c>
      <c r="G146" s="332"/>
      <c r="H146" s="302">
        <v>7850</v>
      </c>
      <c r="I146" s="303">
        <f>C146</f>
        <v>100</v>
      </c>
      <c r="J146" s="302"/>
      <c r="K146" s="298"/>
      <c r="L146" s="278"/>
      <c r="M146" s="278"/>
      <c r="N146" s="278"/>
      <c r="O146" s="278"/>
      <c r="P146" s="278"/>
      <c r="Q146" s="278"/>
      <c r="R146" s="278"/>
      <c r="S146" s="278"/>
      <c r="T146" s="278"/>
      <c r="U146" s="304">
        <f>SUM(I146)</f>
        <v>100</v>
      </c>
      <c r="V146" s="305"/>
      <c r="W146" s="242"/>
      <c r="X146" s="242"/>
      <c r="Y146" s="242"/>
      <c r="Z146" s="242"/>
      <c r="AA146" s="242"/>
      <c r="AB146" s="242"/>
      <c r="AC146" s="242"/>
      <c r="AD146" s="242"/>
      <c r="AE146" s="242"/>
      <c r="AF146" s="242"/>
      <c r="AG146" s="242"/>
      <c r="AH146" s="242"/>
      <c r="AI146" s="242"/>
      <c r="AJ146" s="242"/>
      <c r="AK146" s="242"/>
      <c r="AL146" s="242"/>
      <c r="AM146" s="242"/>
      <c r="AN146" s="242"/>
      <c r="AO146" s="242"/>
      <c r="AP146" s="242"/>
      <c r="AQ146" s="242"/>
      <c r="AR146" s="242"/>
      <c r="AS146" s="242"/>
      <c r="AT146" s="278"/>
      <c r="AU146" s="278"/>
      <c r="AV146" s="278"/>
      <c r="AW146" s="278"/>
      <c r="AX146" s="278"/>
      <c r="AY146" s="293"/>
      <c r="AZ146" s="304">
        <f t="shared" si="21"/>
        <v>0</v>
      </c>
    </row>
    <row r="147" spans="1:52" s="300" customFormat="1" ht="15.75" customHeight="1" x14ac:dyDescent="0.3">
      <c r="A147" s="290">
        <v>6</v>
      </c>
      <c r="B147" s="241" t="s">
        <v>165</v>
      </c>
      <c r="C147" s="242">
        <v>200</v>
      </c>
      <c r="D147" s="238">
        <f t="shared" si="16"/>
        <v>-200</v>
      </c>
      <c r="E147" s="243" t="s">
        <v>161</v>
      </c>
      <c r="F147" s="240">
        <f t="shared" si="23"/>
        <v>-36401.329999999951</v>
      </c>
      <c r="G147" s="332"/>
      <c r="H147" s="302">
        <v>6770</v>
      </c>
      <c r="I147" s="303">
        <f>C147</f>
        <v>200</v>
      </c>
      <c r="J147" s="302"/>
      <c r="K147" s="298"/>
      <c r="L147" s="278"/>
      <c r="M147" s="278"/>
      <c r="N147" s="278"/>
      <c r="O147" s="278"/>
      <c r="P147" s="278"/>
      <c r="Q147" s="278"/>
      <c r="R147" s="278"/>
      <c r="S147" s="278"/>
      <c r="T147" s="278"/>
      <c r="U147" s="304"/>
      <c r="V147" s="305"/>
      <c r="W147" s="242"/>
      <c r="X147" s="242"/>
      <c r="Y147" s="242"/>
      <c r="Z147" s="242"/>
      <c r="AA147" s="242"/>
      <c r="AB147" s="242"/>
      <c r="AC147" s="242"/>
      <c r="AD147" s="242"/>
      <c r="AE147" s="242"/>
      <c r="AF147" s="242"/>
      <c r="AG147" s="242"/>
      <c r="AH147" s="242"/>
      <c r="AI147" s="242"/>
      <c r="AJ147" s="242"/>
      <c r="AK147" s="242"/>
      <c r="AL147" s="242"/>
      <c r="AM147" s="242">
        <f>SUM(I147)</f>
        <v>200</v>
      </c>
      <c r="AN147" s="242"/>
      <c r="AO147" s="242"/>
      <c r="AP147" s="242"/>
      <c r="AQ147" s="242"/>
      <c r="AR147" s="242"/>
      <c r="AS147" s="242"/>
      <c r="AT147" s="278"/>
      <c r="AU147" s="278"/>
      <c r="AV147" s="278"/>
      <c r="AW147" s="278"/>
      <c r="AX147" s="278"/>
      <c r="AY147" s="293"/>
      <c r="AZ147" s="304">
        <f t="shared" si="21"/>
        <v>0</v>
      </c>
    </row>
    <row r="148" spans="1:52" s="300" customFormat="1" ht="15.75" customHeight="1" x14ac:dyDescent="0.3">
      <c r="A148" s="290">
        <v>6</v>
      </c>
      <c r="B148" s="244" t="s">
        <v>164</v>
      </c>
      <c r="C148" s="242">
        <v>625</v>
      </c>
      <c r="D148" s="238">
        <f t="shared" si="16"/>
        <v>-625</v>
      </c>
      <c r="E148" s="243" t="s">
        <v>163</v>
      </c>
      <c r="F148" s="240">
        <f t="shared" si="23"/>
        <v>-37026.329999999951</v>
      </c>
      <c r="G148" s="332"/>
      <c r="H148" s="302">
        <v>5540</v>
      </c>
      <c r="I148" s="303">
        <f>C148</f>
        <v>625</v>
      </c>
      <c r="J148" s="302"/>
      <c r="K148" s="298"/>
      <c r="L148" s="278"/>
      <c r="M148" s="278"/>
      <c r="N148" s="278"/>
      <c r="O148" s="278"/>
      <c r="P148" s="278"/>
      <c r="Q148" s="278"/>
      <c r="R148" s="278"/>
      <c r="S148" s="278"/>
      <c r="T148" s="278"/>
      <c r="U148" s="304"/>
      <c r="V148" s="305"/>
      <c r="W148" s="242"/>
      <c r="X148" s="242"/>
      <c r="Y148" s="242"/>
      <c r="Z148" s="242"/>
      <c r="AA148" s="242"/>
      <c r="AB148" s="242"/>
      <c r="AC148" s="242"/>
      <c r="AD148" s="242"/>
      <c r="AE148" s="242"/>
      <c r="AF148" s="242"/>
      <c r="AG148" s="242"/>
      <c r="AH148" s="242"/>
      <c r="AI148" s="242"/>
      <c r="AJ148" s="242"/>
      <c r="AK148" s="242"/>
      <c r="AL148" s="242"/>
      <c r="AM148" s="242"/>
      <c r="AN148" s="242">
        <f>SUM(I148)</f>
        <v>625</v>
      </c>
      <c r="AO148" s="242"/>
      <c r="AP148" s="242"/>
      <c r="AQ148" s="242"/>
      <c r="AR148" s="242"/>
      <c r="AS148" s="242"/>
      <c r="AT148" s="278"/>
      <c r="AU148" s="278"/>
      <c r="AV148" s="278"/>
      <c r="AW148" s="278"/>
      <c r="AX148" s="278"/>
      <c r="AY148" s="293"/>
      <c r="AZ148" s="304">
        <f t="shared" si="21"/>
        <v>0</v>
      </c>
    </row>
    <row r="149" spans="1:52" s="300" customFormat="1" ht="15.75" customHeight="1" x14ac:dyDescent="0.3">
      <c r="A149" s="290">
        <v>6</v>
      </c>
      <c r="B149" s="241" t="s">
        <v>162</v>
      </c>
      <c r="C149" s="242">
        <v>60</v>
      </c>
      <c r="D149" s="238">
        <f t="shared" si="16"/>
        <v>-60</v>
      </c>
      <c r="E149" s="243" t="s">
        <v>161</v>
      </c>
      <c r="F149" s="240">
        <f t="shared" si="23"/>
        <v>-37086.329999999951</v>
      </c>
      <c r="G149" s="332"/>
      <c r="H149" s="302">
        <v>7850</v>
      </c>
      <c r="I149" s="303">
        <f>C149</f>
        <v>60</v>
      </c>
      <c r="J149" s="302"/>
      <c r="K149" s="298"/>
      <c r="L149" s="278"/>
      <c r="M149" s="278"/>
      <c r="N149" s="278"/>
      <c r="O149" s="278"/>
      <c r="P149" s="278"/>
      <c r="Q149" s="278"/>
      <c r="R149" s="278"/>
      <c r="S149" s="278"/>
      <c r="T149" s="278"/>
      <c r="U149" s="304">
        <f>SUM(I149)</f>
        <v>60</v>
      </c>
      <c r="V149" s="305"/>
      <c r="W149" s="242"/>
      <c r="X149" s="242"/>
      <c r="Y149" s="242"/>
      <c r="Z149" s="242"/>
      <c r="AA149" s="242"/>
      <c r="AB149" s="242"/>
      <c r="AC149" s="242"/>
      <c r="AD149" s="242"/>
      <c r="AE149" s="242"/>
      <c r="AF149" s="242"/>
      <c r="AG149" s="242"/>
      <c r="AH149" s="242"/>
      <c r="AI149" s="242"/>
      <c r="AJ149" s="242"/>
      <c r="AK149" s="242"/>
      <c r="AL149" s="242"/>
      <c r="AM149" s="242"/>
      <c r="AN149" s="242"/>
      <c r="AO149" s="242"/>
      <c r="AP149" s="242"/>
      <c r="AQ149" s="242"/>
      <c r="AR149" s="242"/>
      <c r="AS149" s="242"/>
      <c r="AT149" s="278"/>
      <c r="AU149" s="278"/>
      <c r="AV149" s="278"/>
      <c r="AW149" s="278"/>
      <c r="AX149" s="278"/>
      <c r="AY149" s="293"/>
      <c r="AZ149" s="304">
        <f t="shared" ref="AZ149:AZ162" si="27">SUM(U149:AY149)-C149</f>
        <v>0</v>
      </c>
    </row>
    <row r="150" spans="1:52" s="300" customFormat="1" ht="15.75" customHeight="1" x14ac:dyDescent="0.3">
      <c r="A150" s="290">
        <v>6</v>
      </c>
      <c r="B150" s="244" t="s">
        <v>160</v>
      </c>
      <c r="C150" s="237">
        <v>1833.35</v>
      </c>
      <c r="D150" s="238">
        <f t="shared" si="16"/>
        <v>-1833.35</v>
      </c>
      <c r="E150" s="243" t="s">
        <v>159</v>
      </c>
      <c r="F150" s="240">
        <f t="shared" si="23"/>
        <v>-38919.679999999949</v>
      </c>
      <c r="G150" s="332"/>
      <c r="H150" s="302">
        <v>6590</v>
      </c>
      <c r="I150" s="303">
        <f>C150</f>
        <v>1833.35</v>
      </c>
      <c r="J150" s="302"/>
      <c r="K150" s="298"/>
      <c r="L150" s="278"/>
      <c r="M150" s="278"/>
      <c r="N150" s="278"/>
      <c r="O150" s="278"/>
      <c r="P150" s="278"/>
      <c r="Q150" s="278"/>
      <c r="R150" s="278"/>
      <c r="S150" s="278"/>
      <c r="T150" s="278"/>
      <c r="U150" s="304"/>
      <c r="V150" s="305"/>
      <c r="W150" s="242"/>
      <c r="X150" s="242"/>
      <c r="Y150" s="242"/>
      <c r="Z150" s="242"/>
      <c r="AA150" s="242"/>
      <c r="AB150" s="242"/>
      <c r="AC150" s="242"/>
      <c r="AD150" s="242"/>
      <c r="AE150" s="242"/>
      <c r="AF150" s="242"/>
      <c r="AG150" s="242"/>
      <c r="AH150" s="242"/>
      <c r="AI150" s="242"/>
      <c r="AJ150" s="242"/>
      <c r="AK150" s="242"/>
      <c r="AL150" s="242"/>
      <c r="AM150" s="242"/>
      <c r="AN150" s="242"/>
      <c r="AO150" s="278"/>
      <c r="AP150" s="242">
        <f>SUM(I150)</f>
        <v>1833.35</v>
      </c>
      <c r="AQ150" s="242"/>
      <c r="AR150" s="242"/>
      <c r="AS150" s="242"/>
      <c r="AT150" s="278"/>
      <c r="AU150" s="278"/>
      <c r="AV150" s="278"/>
      <c r="AW150" s="278"/>
      <c r="AX150" s="278"/>
      <c r="AY150" s="293"/>
      <c r="AZ150" s="304">
        <f t="shared" si="27"/>
        <v>0</v>
      </c>
    </row>
    <row r="151" spans="1:52" s="300" customFormat="1" ht="15.75" customHeight="1" x14ac:dyDescent="0.3">
      <c r="A151" s="331">
        <v>6</v>
      </c>
      <c r="B151" s="265" t="s">
        <v>157</v>
      </c>
      <c r="C151" s="276"/>
      <c r="D151" s="267">
        <v>40630.800000000003</v>
      </c>
      <c r="E151" s="268" t="s">
        <v>342</v>
      </c>
      <c r="F151" s="269">
        <f t="shared" si="23"/>
        <v>1711.1200000000536</v>
      </c>
      <c r="G151" s="332"/>
      <c r="H151" s="302" t="s">
        <v>207</v>
      </c>
      <c r="I151" s="302" t="s">
        <v>207</v>
      </c>
      <c r="J151" s="302"/>
      <c r="K151" s="298"/>
      <c r="L151" s="278"/>
      <c r="M151" s="278"/>
      <c r="N151" s="278"/>
      <c r="O151" s="278"/>
      <c r="P151" s="278"/>
      <c r="Q151" s="278"/>
      <c r="R151" s="278"/>
      <c r="S151" s="278"/>
      <c r="T151" s="278"/>
      <c r="U151" s="304"/>
      <c r="V151" s="305"/>
      <c r="W151" s="242"/>
      <c r="X151" s="242"/>
      <c r="Y151" s="242"/>
      <c r="Z151" s="242"/>
      <c r="AA151" s="242"/>
      <c r="AB151" s="242"/>
      <c r="AC151" s="242"/>
      <c r="AD151" s="242"/>
      <c r="AE151" s="242"/>
      <c r="AF151" s="242"/>
      <c r="AG151" s="242"/>
      <c r="AH151" s="242"/>
      <c r="AI151" s="242"/>
      <c r="AJ151" s="242"/>
      <c r="AK151" s="242"/>
      <c r="AL151" s="242"/>
      <c r="AM151" s="242"/>
      <c r="AN151" s="242"/>
      <c r="AO151" s="242"/>
      <c r="AP151" s="242"/>
      <c r="AQ151" s="242"/>
      <c r="AR151" s="242"/>
      <c r="AS151" s="242"/>
      <c r="AT151" s="278"/>
      <c r="AU151" s="278"/>
      <c r="AV151" s="278"/>
      <c r="AW151" s="278"/>
      <c r="AX151" s="278"/>
      <c r="AY151" s="293"/>
      <c r="AZ151" s="304">
        <f t="shared" si="27"/>
        <v>0</v>
      </c>
    </row>
    <row r="152" spans="1:52" s="300" customFormat="1" ht="15.75" customHeight="1" x14ac:dyDescent="0.3">
      <c r="A152" s="331">
        <v>6</v>
      </c>
      <c r="B152" s="265" t="s">
        <v>157</v>
      </c>
      <c r="C152" s="276"/>
      <c r="D152" s="141">
        <v>262637.08</v>
      </c>
      <c r="E152" s="268" t="s">
        <v>343</v>
      </c>
      <c r="F152" s="269">
        <f t="shared" si="23"/>
        <v>264348.20000000007</v>
      </c>
      <c r="G152" s="332"/>
      <c r="H152" s="302" t="s">
        <v>207</v>
      </c>
      <c r="I152" s="302" t="s">
        <v>207</v>
      </c>
      <c r="J152" s="302"/>
      <c r="K152" s="298"/>
      <c r="L152" s="278"/>
      <c r="M152" s="278"/>
      <c r="N152" s="278"/>
      <c r="O152" s="278"/>
      <c r="P152" s="278"/>
      <c r="Q152" s="278"/>
      <c r="R152" s="278"/>
      <c r="S152" s="278"/>
      <c r="T152" s="278"/>
      <c r="U152" s="304"/>
      <c r="V152" s="305"/>
      <c r="W152" s="242"/>
      <c r="X152" s="242"/>
      <c r="Y152" s="242"/>
      <c r="Z152" s="242"/>
      <c r="AA152" s="242"/>
      <c r="AB152" s="242"/>
      <c r="AC152" s="242"/>
      <c r="AD152" s="242"/>
      <c r="AE152" s="242"/>
      <c r="AF152" s="242"/>
      <c r="AG152" s="242"/>
      <c r="AH152" s="242"/>
      <c r="AI152" s="242"/>
      <c r="AJ152" s="242"/>
      <c r="AK152" s="242"/>
      <c r="AL152" s="242"/>
      <c r="AM152" s="242"/>
      <c r="AN152" s="242"/>
      <c r="AO152" s="242"/>
      <c r="AP152" s="242"/>
      <c r="AQ152" s="242"/>
      <c r="AR152" s="242"/>
      <c r="AS152" s="242"/>
      <c r="AT152" s="278"/>
      <c r="AU152" s="278"/>
      <c r="AV152" s="278"/>
      <c r="AW152" s="278"/>
      <c r="AX152" s="278"/>
      <c r="AY152" s="293"/>
      <c r="AZ152" s="304">
        <f t="shared" si="27"/>
        <v>0</v>
      </c>
    </row>
    <row r="153" spans="1:52" s="300" customFormat="1" ht="15.75" customHeight="1" x14ac:dyDescent="0.3">
      <c r="A153" s="290">
        <v>6</v>
      </c>
      <c r="B153" s="241" t="s">
        <v>155</v>
      </c>
      <c r="C153" s="242">
        <v>13385</v>
      </c>
      <c r="D153" s="238">
        <v>-13385</v>
      </c>
      <c r="E153" s="243">
        <v>43895</v>
      </c>
      <c r="F153" s="240">
        <f t="shared" si="23"/>
        <v>250963.20000000007</v>
      </c>
      <c r="G153" s="302"/>
      <c r="H153" s="302">
        <v>8570</v>
      </c>
      <c r="I153" s="313">
        <v>1010</v>
      </c>
      <c r="J153" s="302" t="s">
        <v>207</v>
      </c>
      <c r="K153" s="298" t="s">
        <v>207</v>
      </c>
      <c r="L153" s="278">
        <v>8510</v>
      </c>
      <c r="M153" s="298">
        <v>10000</v>
      </c>
      <c r="N153" s="314">
        <v>8520</v>
      </c>
      <c r="O153" s="298">
        <v>750</v>
      </c>
      <c r="P153" s="314">
        <v>8530</v>
      </c>
      <c r="Q153" s="315">
        <v>1500</v>
      </c>
      <c r="R153" s="314">
        <v>8590</v>
      </c>
      <c r="S153" s="298">
        <v>125</v>
      </c>
      <c r="T153" s="316">
        <v>13385</v>
      </c>
      <c r="U153" s="304"/>
      <c r="V153" s="305"/>
      <c r="W153" s="242"/>
      <c r="X153" s="242"/>
      <c r="Y153" s="242"/>
      <c r="Z153" s="242"/>
      <c r="AA153" s="242"/>
      <c r="AB153" s="242"/>
      <c r="AC153" s="242"/>
      <c r="AD153" s="242"/>
      <c r="AE153" s="242"/>
      <c r="AF153" s="242"/>
      <c r="AG153" s="242">
        <v>1010</v>
      </c>
      <c r="AH153" s="242">
        <v>10000</v>
      </c>
      <c r="AI153" s="242">
        <v>750</v>
      </c>
      <c r="AJ153" s="242">
        <v>1500</v>
      </c>
      <c r="AK153" s="242">
        <v>125</v>
      </c>
      <c r="AL153" s="242"/>
      <c r="AM153" s="242"/>
      <c r="AN153" s="242"/>
      <c r="AO153" s="242"/>
      <c r="AP153" s="242"/>
      <c r="AQ153" s="242"/>
      <c r="AR153" s="242"/>
      <c r="AS153" s="242"/>
      <c r="AT153" s="278"/>
      <c r="AU153" s="278"/>
      <c r="AV153" s="278"/>
      <c r="AW153" s="278"/>
      <c r="AX153" s="278"/>
      <c r="AY153" s="293"/>
      <c r="AZ153" s="304">
        <v>0</v>
      </c>
    </row>
    <row r="154" spans="1:52" s="300" customFormat="1" ht="15.75" customHeight="1" x14ac:dyDescent="0.3">
      <c r="A154" s="290">
        <v>6</v>
      </c>
      <c r="B154" s="241" t="s">
        <v>153</v>
      </c>
      <c r="C154" s="242">
        <v>100</v>
      </c>
      <c r="D154" s="238">
        <f t="shared" ref="D154:D163" si="28">SUM(C154*-1)</f>
        <v>-100</v>
      </c>
      <c r="E154" s="243" t="s">
        <v>152</v>
      </c>
      <c r="F154" s="240">
        <f t="shared" si="23"/>
        <v>250863.20000000007</v>
      </c>
      <c r="G154" s="332"/>
      <c r="H154" s="302">
        <v>7850</v>
      </c>
      <c r="I154" s="303">
        <f>C154</f>
        <v>100</v>
      </c>
      <c r="J154" s="302"/>
      <c r="K154" s="298"/>
      <c r="L154" s="278"/>
      <c r="M154" s="278"/>
      <c r="N154" s="278"/>
      <c r="O154" s="278"/>
      <c r="P154" s="278"/>
      <c r="Q154" s="278"/>
      <c r="R154" s="278"/>
      <c r="S154" s="278"/>
      <c r="T154" s="278"/>
      <c r="U154" s="304">
        <f>SUM(I154)</f>
        <v>100</v>
      </c>
      <c r="V154" s="305"/>
      <c r="W154" s="242"/>
      <c r="X154" s="242"/>
      <c r="Y154" s="242"/>
      <c r="Z154" s="242"/>
      <c r="AA154" s="242"/>
      <c r="AB154" s="242"/>
      <c r="AC154" s="242"/>
      <c r="AD154" s="242"/>
      <c r="AE154" s="242"/>
      <c r="AF154" s="242"/>
      <c r="AG154" s="242"/>
      <c r="AH154" s="242"/>
      <c r="AI154" s="242"/>
      <c r="AJ154" s="242"/>
      <c r="AK154" s="242"/>
      <c r="AL154" s="242"/>
      <c r="AM154" s="242"/>
      <c r="AN154" s="242"/>
      <c r="AO154" s="242"/>
      <c r="AP154" s="242"/>
      <c r="AQ154" s="242"/>
      <c r="AR154" s="242"/>
      <c r="AS154" s="242"/>
      <c r="AT154" s="278"/>
      <c r="AU154" s="278"/>
      <c r="AV154" s="278"/>
      <c r="AW154" s="278"/>
      <c r="AX154" s="278"/>
      <c r="AY154" s="293"/>
      <c r="AZ154" s="304">
        <f t="shared" si="27"/>
        <v>0</v>
      </c>
    </row>
    <row r="155" spans="1:52" s="300" customFormat="1" ht="15.75" customHeight="1" x14ac:dyDescent="0.3">
      <c r="A155" s="290">
        <v>6</v>
      </c>
      <c r="B155" s="244" t="s">
        <v>266</v>
      </c>
      <c r="C155" s="242">
        <f>SUM('CCD - Mnthly Bills'!C20)</f>
        <v>1523.3625000000002</v>
      </c>
      <c r="D155" s="238">
        <f t="shared" si="28"/>
        <v>-1523.3625000000002</v>
      </c>
      <c r="E155" s="243" t="s">
        <v>268</v>
      </c>
      <c r="F155" s="240">
        <f t="shared" si="23"/>
        <v>249339.83750000008</v>
      </c>
      <c r="G155" s="332"/>
      <c r="H155" s="589" t="s">
        <v>264</v>
      </c>
      <c r="I155" s="589"/>
      <c r="J155" s="302"/>
      <c r="K155" s="298"/>
      <c r="L155" s="278"/>
      <c r="M155" s="278"/>
      <c r="N155" s="278"/>
      <c r="O155" s="278"/>
      <c r="P155" s="278"/>
      <c r="Q155" s="278"/>
      <c r="R155" s="278"/>
      <c r="S155" s="278"/>
      <c r="T155" s="278"/>
      <c r="U155" s="304"/>
      <c r="V155" s="305"/>
      <c r="W155" s="242">
        <f>SUM(W127)</f>
        <v>104.73750000000001</v>
      </c>
      <c r="X155" s="242"/>
      <c r="Y155" s="242">
        <f>SUM(Y127)</f>
        <v>778.6875</v>
      </c>
      <c r="Z155" s="242"/>
      <c r="AA155" s="242">
        <f>SUM(AA127)</f>
        <v>375</v>
      </c>
      <c r="AB155" s="242"/>
      <c r="AC155" s="242"/>
      <c r="AD155" s="242">
        <f>SUM(AD127)</f>
        <v>90</v>
      </c>
      <c r="AE155" s="242"/>
      <c r="AF155" s="242"/>
      <c r="AG155" s="242"/>
      <c r="AH155" s="242"/>
      <c r="AI155" s="242"/>
      <c r="AJ155" s="242"/>
      <c r="AK155" s="242"/>
      <c r="AL155" s="242"/>
      <c r="AM155" s="242"/>
      <c r="AN155" s="242"/>
      <c r="AO155" s="242"/>
      <c r="AP155" s="242"/>
      <c r="AQ155" s="242">
        <f>SUM(AQ127)</f>
        <v>111.1875</v>
      </c>
      <c r="AR155" s="242">
        <f>SUM(AR127)</f>
        <v>63.75</v>
      </c>
      <c r="AS155" s="242"/>
      <c r="AT155" s="278"/>
      <c r="AU155" s="278"/>
      <c r="AV155" s="278"/>
      <c r="AW155" s="278"/>
      <c r="AX155" s="278"/>
      <c r="AY155" s="293"/>
      <c r="AZ155" s="304">
        <f t="shared" si="27"/>
        <v>0</v>
      </c>
    </row>
    <row r="156" spans="1:52" s="300" customFormat="1" ht="15.75" customHeight="1" x14ac:dyDescent="0.3">
      <c r="A156" s="290">
        <v>6</v>
      </c>
      <c r="B156" s="241" t="s">
        <v>150</v>
      </c>
      <c r="C156" s="242">
        <v>458.65</v>
      </c>
      <c r="D156" s="238">
        <f t="shared" si="28"/>
        <v>-458.65</v>
      </c>
      <c r="E156" s="243" t="s">
        <v>149</v>
      </c>
      <c r="F156" s="240">
        <f t="shared" si="23"/>
        <v>248881.18750000009</v>
      </c>
      <c r="G156" s="332"/>
      <c r="H156" s="302">
        <v>7910</v>
      </c>
      <c r="I156" s="303">
        <f t="shared" ref="I156:I163" si="29">C156</f>
        <v>458.65</v>
      </c>
      <c r="J156" s="302"/>
      <c r="K156" s="298"/>
      <c r="L156" s="278"/>
      <c r="M156" s="278"/>
      <c r="N156" s="278"/>
      <c r="O156" s="278"/>
      <c r="P156" s="278"/>
      <c r="Q156" s="278"/>
      <c r="R156" s="278"/>
      <c r="S156" s="278"/>
      <c r="T156" s="278"/>
      <c r="U156" s="304"/>
      <c r="V156" s="305">
        <f>SUM(I156)</f>
        <v>458.65</v>
      </c>
      <c r="W156" s="242"/>
      <c r="X156" s="242"/>
      <c r="Y156" s="242"/>
      <c r="Z156" s="242"/>
      <c r="AA156" s="242"/>
      <c r="AB156" s="242"/>
      <c r="AC156" s="242"/>
      <c r="AD156" s="242"/>
      <c r="AE156" s="242"/>
      <c r="AF156" s="242"/>
      <c r="AG156" s="242"/>
      <c r="AH156" s="242"/>
      <c r="AI156" s="242"/>
      <c r="AJ156" s="242"/>
      <c r="AK156" s="242"/>
      <c r="AL156" s="242"/>
      <c r="AM156" s="242"/>
      <c r="AN156" s="242"/>
      <c r="AO156" s="242"/>
      <c r="AP156" s="242"/>
      <c r="AQ156" s="242"/>
      <c r="AR156" s="242"/>
      <c r="AS156" s="242"/>
      <c r="AT156" s="278"/>
      <c r="AU156" s="278"/>
      <c r="AV156" s="278"/>
      <c r="AW156" s="278"/>
      <c r="AX156" s="278"/>
      <c r="AY156" s="293"/>
      <c r="AZ156" s="304">
        <f t="shared" si="27"/>
        <v>0</v>
      </c>
    </row>
    <row r="157" spans="1:52" s="300" customFormat="1" ht="15.75" customHeight="1" x14ac:dyDescent="0.3">
      <c r="A157" s="290">
        <v>6</v>
      </c>
      <c r="B157" s="241" t="s">
        <v>148</v>
      </c>
      <c r="C157" s="242">
        <v>150</v>
      </c>
      <c r="D157" s="238">
        <f t="shared" si="28"/>
        <v>-150</v>
      </c>
      <c r="E157" s="243" t="s">
        <v>147</v>
      </c>
      <c r="F157" s="240">
        <f t="shared" si="23"/>
        <v>248731.18750000009</v>
      </c>
      <c r="G157" s="332"/>
      <c r="H157" s="302">
        <v>7950</v>
      </c>
      <c r="I157" s="303">
        <f t="shared" si="29"/>
        <v>150</v>
      </c>
      <c r="J157" s="302"/>
      <c r="K157" s="298"/>
      <c r="L157" s="278"/>
      <c r="M157" s="278"/>
      <c r="N157" s="278"/>
      <c r="O157" s="278"/>
      <c r="P157" s="278"/>
      <c r="Q157" s="278"/>
      <c r="R157" s="278"/>
      <c r="S157" s="278"/>
      <c r="T157" s="278"/>
      <c r="U157" s="304"/>
      <c r="V157" s="305"/>
      <c r="W157" s="242">
        <f>SUM(I157)</f>
        <v>150</v>
      </c>
      <c r="X157" s="242"/>
      <c r="Y157" s="242"/>
      <c r="Z157" s="242"/>
      <c r="AA157" s="242"/>
      <c r="AB157" s="242"/>
      <c r="AC157" s="242"/>
      <c r="AD157" s="242"/>
      <c r="AE157" s="242"/>
      <c r="AF157" s="242"/>
      <c r="AG157" s="242"/>
      <c r="AH157" s="242"/>
      <c r="AI157" s="242"/>
      <c r="AJ157" s="242"/>
      <c r="AK157" s="242"/>
      <c r="AL157" s="242"/>
      <c r="AM157" s="242"/>
      <c r="AN157" s="242"/>
      <c r="AO157" s="242"/>
      <c r="AP157" s="242"/>
      <c r="AQ157" s="242"/>
      <c r="AR157" s="242"/>
      <c r="AS157" s="242"/>
      <c r="AT157" s="278"/>
      <c r="AU157" s="278"/>
      <c r="AV157" s="278"/>
      <c r="AW157" s="278"/>
      <c r="AX157" s="278"/>
      <c r="AY157" s="293"/>
      <c r="AZ157" s="304">
        <f t="shared" si="27"/>
        <v>0</v>
      </c>
    </row>
    <row r="158" spans="1:52" s="300" customFormat="1" ht="15.75" customHeight="1" x14ac:dyDescent="0.3">
      <c r="A158" s="290">
        <v>6</v>
      </c>
      <c r="B158" s="241" t="s">
        <v>146</v>
      </c>
      <c r="C158" s="242">
        <v>149.99</v>
      </c>
      <c r="D158" s="238">
        <f t="shared" si="28"/>
        <v>-149.99</v>
      </c>
      <c r="E158" s="243" t="s">
        <v>145</v>
      </c>
      <c r="F158" s="240">
        <f t="shared" si="23"/>
        <v>248581.1975000001</v>
      </c>
      <c r="G158" s="332"/>
      <c r="H158" s="302">
        <v>7950</v>
      </c>
      <c r="I158" s="303">
        <f t="shared" si="29"/>
        <v>149.99</v>
      </c>
      <c r="J158" s="302"/>
      <c r="K158" s="298"/>
      <c r="L158" s="278"/>
      <c r="M158" s="278"/>
      <c r="N158" s="278"/>
      <c r="O158" s="278"/>
      <c r="P158" s="278"/>
      <c r="Q158" s="278"/>
      <c r="R158" s="278"/>
      <c r="S158" s="278"/>
      <c r="T158" s="278"/>
      <c r="U158" s="304"/>
      <c r="V158" s="305"/>
      <c r="W158" s="242">
        <f>SUM(I158)</f>
        <v>149.99</v>
      </c>
      <c r="X158" s="242"/>
      <c r="Y158" s="242"/>
      <c r="Z158" s="242"/>
      <c r="AA158" s="242"/>
      <c r="AB158" s="242"/>
      <c r="AC158" s="242"/>
      <c r="AD158" s="242"/>
      <c r="AE158" s="242"/>
      <c r="AF158" s="242"/>
      <c r="AG158" s="242"/>
      <c r="AH158" s="242"/>
      <c r="AI158" s="242"/>
      <c r="AJ158" s="242"/>
      <c r="AK158" s="242"/>
      <c r="AL158" s="242"/>
      <c r="AM158" s="242"/>
      <c r="AN158" s="242"/>
      <c r="AO158" s="242"/>
      <c r="AP158" s="242"/>
      <c r="AQ158" s="242"/>
      <c r="AR158" s="242"/>
      <c r="AS158" s="242"/>
      <c r="AT158" s="278"/>
      <c r="AU158" s="278"/>
      <c r="AV158" s="278"/>
      <c r="AW158" s="278"/>
      <c r="AX158" s="278"/>
      <c r="AY158" s="293"/>
      <c r="AZ158" s="304">
        <f t="shared" si="27"/>
        <v>0</v>
      </c>
    </row>
    <row r="159" spans="1:52" s="300" customFormat="1" ht="15.75" customHeight="1" x14ac:dyDescent="0.3">
      <c r="A159" s="290">
        <v>6</v>
      </c>
      <c r="B159" s="241" t="s">
        <v>144</v>
      </c>
      <c r="C159" s="242">
        <v>300</v>
      </c>
      <c r="D159" s="238">
        <f t="shared" si="28"/>
        <v>-300</v>
      </c>
      <c r="E159" s="243" t="s">
        <v>138</v>
      </c>
      <c r="F159" s="240">
        <f t="shared" si="23"/>
        <v>248281.1975000001</v>
      </c>
      <c r="G159" s="332"/>
      <c r="H159" s="302">
        <v>7950</v>
      </c>
      <c r="I159" s="303">
        <f t="shared" si="29"/>
        <v>300</v>
      </c>
      <c r="J159" s="302"/>
      <c r="K159" s="298"/>
      <c r="L159" s="278"/>
      <c r="M159" s="278"/>
      <c r="N159" s="278"/>
      <c r="O159" s="278"/>
      <c r="P159" s="278"/>
      <c r="Q159" s="278"/>
      <c r="R159" s="278"/>
      <c r="S159" s="278"/>
      <c r="T159" s="278"/>
      <c r="U159" s="304"/>
      <c r="V159" s="305"/>
      <c r="W159" s="242">
        <f>SUM(I159)</f>
        <v>300</v>
      </c>
      <c r="X159" s="242"/>
      <c r="Y159" s="242"/>
      <c r="Z159" s="242"/>
      <c r="AA159" s="242"/>
      <c r="AB159" s="242"/>
      <c r="AC159" s="242"/>
      <c r="AD159" s="242"/>
      <c r="AE159" s="242"/>
      <c r="AF159" s="242"/>
      <c r="AG159" s="242"/>
      <c r="AH159" s="242"/>
      <c r="AI159" s="242"/>
      <c r="AJ159" s="242"/>
      <c r="AK159" s="242"/>
      <c r="AL159" s="242"/>
      <c r="AM159" s="242"/>
      <c r="AN159" s="242"/>
      <c r="AO159" s="242"/>
      <c r="AP159" s="242"/>
      <c r="AQ159" s="242"/>
      <c r="AR159" s="242"/>
      <c r="AS159" s="242"/>
      <c r="AT159" s="278"/>
      <c r="AU159" s="278"/>
      <c r="AV159" s="278"/>
      <c r="AW159" s="278"/>
      <c r="AX159" s="278"/>
      <c r="AY159" s="293"/>
      <c r="AZ159" s="304">
        <f t="shared" si="27"/>
        <v>0</v>
      </c>
    </row>
    <row r="160" spans="1:52" s="300" customFormat="1" ht="15.75" customHeight="1" x14ac:dyDescent="0.3">
      <c r="A160" s="290">
        <v>6</v>
      </c>
      <c r="B160" s="244" t="s">
        <v>143</v>
      </c>
      <c r="C160" s="242">
        <v>75</v>
      </c>
      <c r="D160" s="238">
        <f t="shared" si="28"/>
        <v>-75</v>
      </c>
      <c r="E160" s="243" t="s">
        <v>138</v>
      </c>
      <c r="F160" s="240">
        <f t="shared" si="23"/>
        <v>248206.1975000001</v>
      </c>
      <c r="G160" s="332"/>
      <c r="H160" s="302">
        <v>7950</v>
      </c>
      <c r="I160" s="303">
        <f t="shared" si="29"/>
        <v>75</v>
      </c>
      <c r="J160" s="302"/>
      <c r="K160" s="298"/>
      <c r="L160" s="278"/>
      <c r="M160" s="278"/>
      <c r="N160" s="278"/>
      <c r="O160" s="278"/>
      <c r="P160" s="278"/>
      <c r="Q160" s="278"/>
      <c r="R160" s="278"/>
      <c r="S160" s="278"/>
      <c r="T160" s="278"/>
      <c r="U160" s="304"/>
      <c r="V160" s="305"/>
      <c r="W160" s="242">
        <f>SUM(I160)</f>
        <v>75</v>
      </c>
      <c r="X160" s="242"/>
      <c r="Y160" s="242"/>
      <c r="Z160" s="242"/>
      <c r="AA160" s="242"/>
      <c r="AB160" s="242"/>
      <c r="AC160" s="242"/>
      <c r="AD160" s="242"/>
      <c r="AE160" s="242"/>
      <c r="AF160" s="242"/>
      <c r="AG160" s="242"/>
      <c r="AH160" s="242"/>
      <c r="AI160" s="242"/>
      <c r="AJ160" s="242"/>
      <c r="AK160" s="242"/>
      <c r="AL160" s="242"/>
      <c r="AM160" s="242"/>
      <c r="AN160" s="242"/>
      <c r="AO160" s="242"/>
      <c r="AP160" s="242"/>
      <c r="AQ160" s="242"/>
      <c r="AR160" s="242"/>
      <c r="AS160" s="242"/>
      <c r="AT160" s="278"/>
      <c r="AU160" s="278"/>
      <c r="AV160" s="278"/>
      <c r="AW160" s="278"/>
      <c r="AX160" s="278"/>
      <c r="AY160" s="293"/>
      <c r="AZ160" s="304">
        <f t="shared" si="27"/>
        <v>0</v>
      </c>
    </row>
    <row r="161" spans="1:53" s="300" customFormat="1" ht="15.75" customHeight="1" x14ac:dyDescent="0.3">
      <c r="A161" s="290">
        <v>6</v>
      </c>
      <c r="B161" s="241" t="s">
        <v>142</v>
      </c>
      <c r="C161" s="242">
        <v>2500</v>
      </c>
      <c r="D161" s="238">
        <f t="shared" si="28"/>
        <v>-2500</v>
      </c>
      <c r="E161" s="243" t="s">
        <v>140</v>
      </c>
      <c r="F161" s="240">
        <f t="shared" si="23"/>
        <v>245706.1975000001</v>
      </c>
      <c r="G161" s="332"/>
      <c r="H161" s="302">
        <v>5710</v>
      </c>
      <c r="I161" s="303">
        <f t="shared" si="29"/>
        <v>2500</v>
      </c>
      <c r="J161" s="302"/>
      <c r="K161" s="298"/>
      <c r="L161" s="278"/>
      <c r="M161" s="278"/>
      <c r="N161" s="278"/>
      <c r="O161" s="278"/>
      <c r="P161" s="278"/>
      <c r="Q161" s="278"/>
      <c r="R161" s="278"/>
      <c r="S161" s="278"/>
      <c r="T161" s="278"/>
      <c r="U161" s="304"/>
      <c r="V161" s="305"/>
      <c r="W161" s="242"/>
      <c r="X161" s="242"/>
      <c r="Y161" s="242"/>
      <c r="Z161" s="242">
        <f>SUM(I161)</f>
        <v>2500</v>
      </c>
      <c r="AA161" s="242"/>
      <c r="AB161" s="242"/>
      <c r="AC161" s="242"/>
      <c r="AD161" s="242"/>
      <c r="AE161" s="242"/>
      <c r="AF161" s="242"/>
      <c r="AG161" s="242"/>
      <c r="AH161" s="242"/>
      <c r="AI161" s="242"/>
      <c r="AJ161" s="242"/>
      <c r="AK161" s="242"/>
      <c r="AL161" s="242"/>
      <c r="AM161" s="242"/>
      <c r="AN161" s="242"/>
      <c r="AO161" s="242"/>
      <c r="AP161" s="242"/>
      <c r="AQ161" s="242"/>
      <c r="AR161" s="242"/>
      <c r="AS161" s="242"/>
      <c r="AT161" s="278"/>
      <c r="AU161" s="278"/>
      <c r="AV161" s="278"/>
      <c r="AW161" s="278"/>
      <c r="AX161" s="278"/>
      <c r="AY161" s="293"/>
      <c r="AZ161" s="304">
        <f t="shared" si="27"/>
        <v>0</v>
      </c>
    </row>
    <row r="162" spans="1:53" s="300" customFormat="1" ht="15.75" customHeight="1" x14ac:dyDescent="0.3">
      <c r="A162" s="290">
        <v>6</v>
      </c>
      <c r="B162" s="241" t="s">
        <v>141</v>
      </c>
      <c r="C162" s="242">
        <v>1080</v>
      </c>
      <c r="D162" s="238">
        <f t="shared" si="28"/>
        <v>-1080</v>
      </c>
      <c r="E162" s="243" t="s">
        <v>140</v>
      </c>
      <c r="F162" s="240">
        <f t="shared" si="23"/>
        <v>244626.1975000001</v>
      </c>
      <c r="G162" s="332"/>
      <c r="H162" s="302">
        <v>6730</v>
      </c>
      <c r="I162" s="303">
        <f t="shared" si="29"/>
        <v>1080</v>
      </c>
      <c r="J162" s="302"/>
      <c r="K162" s="298"/>
      <c r="L162" s="278"/>
      <c r="M162" s="278"/>
      <c r="N162" s="278"/>
      <c r="O162" s="278"/>
      <c r="P162" s="278"/>
      <c r="Q162" s="278"/>
      <c r="R162" s="278"/>
      <c r="S162" s="278"/>
      <c r="T162" s="278"/>
      <c r="U162" s="304"/>
      <c r="V162" s="305"/>
      <c r="W162" s="242"/>
      <c r="X162" s="242">
        <f>SUM(I162)</f>
        <v>1080</v>
      </c>
      <c r="Y162" s="242"/>
      <c r="Z162" s="242"/>
      <c r="AA162" s="242"/>
      <c r="AB162" s="242"/>
      <c r="AC162" s="242"/>
      <c r="AD162" s="242"/>
      <c r="AE162" s="242"/>
      <c r="AF162" s="242"/>
      <c r="AG162" s="242"/>
      <c r="AH162" s="242"/>
      <c r="AI162" s="242"/>
      <c r="AJ162" s="242"/>
      <c r="AK162" s="242"/>
      <c r="AL162" s="242"/>
      <c r="AM162" s="242"/>
      <c r="AN162" s="242"/>
      <c r="AO162" s="242"/>
      <c r="AP162" s="242"/>
      <c r="AQ162" s="242"/>
      <c r="AR162" s="242"/>
      <c r="AS162" s="242"/>
      <c r="AT162" s="278"/>
      <c r="AU162" s="278"/>
      <c r="AV162" s="278"/>
      <c r="AW162" s="278"/>
      <c r="AX162" s="278"/>
      <c r="AY162" s="293"/>
      <c r="AZ162" s="304">
        <f t="shared" si="27"/>
        <v>0</v>
      </c>
    </row>
    <row r="163" spans="1:53" s="300" customFormat="1" ht="15.75" customHeight="1" thickBot="1" x14ac:dyDescent="0.35">
      <c r="A163" s="320">
        <v>6</v>
      </c>
      <c r="B163" s="250" t="s">
        <v>178</v>
      </c>
      <c r="C163" s="277">
        <v>0</v>
      </c>
      <c r="D163" s="252">
        <f t="shared" si="28"/>
        <v>0</v>
      </c>
      <c r="E163" s="253" t="s">
        <v>362</v>
      </c>
      <c r="F163" s="254">
        <f t="shared" si="23"/>
        <v>244626.1975000001</v>
      </c>
      <c r="G163" s="302"/>
      <c r="H163" s="302">
        <v>5130</v>
      </c>
      <c r="I163" s="303">
        <f t="shared" si="29"/>
        <v>0</v>
      </c>
      <c r="J163" s="302"/>
      <c r="K163" s="298"/>
      <c r="L163" s="278"/>
      <c r="M163" s="278"/>
      <c r="N163" s="278"/>
      <c r="O163" s="278"/>
      <c r="P163" s="278"/>
      <c r="Q163" s="278"/>
      <c r="R163" s="278"/>
      <c r="S163" s="278"/>
      <c r="T163" s="278"/>
      <c r="U163" s="304"/>
      <c r="V163" s="305"/>
      <c r="W163" s="305"/>
      <c r="X163" s="305"/>
      <c r="Y163" s="305"/>
      <c r="Z163" s="305"/>
      <c r="AA163" s="305">
        <f>SUM(I163)</f>
        <v>0</v>
      </c>
      <c r="AB163" s="305"/>
      <c r="AC163" s="305"/>
      <c r="AD163" s="305"/>
      <c r="AE163" s="305"/>
      <c r="AF163" s="305"/>
      <c r="AG163" s="305"/>
      <c r="AH163" s="305"/>
      <c r="AI163" s="305"/>
      <c r="AJ163" s="305"/>
      <c r="AK163" s="305"/>
      <c r="AL163" s="305"/>
      <c r="AM163" s="305"/>
      <c r="AN163" s="305"/>
      <c r="AO163" s="305"/>
      <c r="AP163" s="305"/>
      <c r="AQ163" s="305"/>
      <c r="AR163" s="305"/>
      <c r="AS163" s="305"/>
      <c r="AT163" s="293"/>
      <c r="AU163" s="293"/>
      <c r="AV163" s="293"/>
      <c r="AW163" s="293"/>
      <c r="AX163" s="293"/>
      <c r="AY163" s="293"/>
      <c r="AZ163" s="307">
        <f t="shared" ref="AZ163" si="30">SUM(U163:AY163)-C163</f>
        <v>0</v>
      </c>
    </row>
    <row r="164" spans="1:53" s="300" customFormat="1" ht="15.75" customHeight="1" thickTop="1" thickBot="1" x14ac:dyDescent="0.35">
      <c r="A164" s="290"/>
      <c r="B164" s="278"/>
      <c r="C164" s="242">
        <f>SUM(C5:C163)</f>
        <v>517342.0824999999</v>
      </c>
      <c r="D164" s="278"/>
      <c r="E164" s="279" t="s">
        <v>287</v>
      </c>
      <c r="F164" s="240">
        <f t="shared" si="23"/>
        <v>244626.1975000001</v>
      </c>
      <c r="G164" s="333"/>
      <c r="H164" s="333"/>
      <c r="I164" s="333"/>
      <c r="J164" s="333"/>
      <c r="K164" s="278"/>
      <c r="L164" s="298"/>
      <c r="M164" s="278"/>
      <c r="N164" s="278"/>
      <c r="O164" s="278"/>
      <c r="P164" s="278"/>
      <c r="Q164" s="278"/>
      <c r="R164" s="278"/>
      <c r="S164" s="278"/>
      <c r="T164" s="242">
        <f>SUM(U164:BB164)</f>
        <v>62877.302499999998</v>
      </c>
      <c r="U164" s="334">
        <f t="shared" ref="U164:AY164" si="31">SUM(U137:U163)</f>
        <v>294.95</v>
      </c>
      <c r="V164" s="335">
        <f t="shared" si="31"/>
        <v>458.65</v>
      </c>
      <c r="W164" s="335">
        <f t="shared" si="31"/>
        <v>1029.7275</v>
      </c>
      <c r="X164" s="335">
        <f t="shared" si="31"/>
        <v>1080</v>
      </c>
      <c r="Y164" s="335">
        <f t="shared" si="31"/>
        <v>778.6875</v>
      </c>
      <c r="Z164" s="335">
        <f t="shared" si="31"/>
        <v>2500</v>
      </c>
      <c r="AA164" s="335">
        <f t="shared" si="31"/>
        <v>375</v>
      </c>
      <c r="AB164" s="335">
        <f t="shared" si="31"/>
        <v>7500</v>
      </c>
      <c r="AC164" s="335">
        <f t="shared" si="31"/>
        <v>2350</v>
      </c>
      <c r="AD164" s="335">
        <f t="shared" si="31"/>
        <v>1674</v>
      </c>
      <c r="AE164" s="335">
        <f t="shared" si="31"/>
        <v>8333</v>
      </c>
      <c r="AF164" s="335">
        <f t="shared" si="31"/>
        <v>150</v>
      </c>
      <c r="AG164" s="335">
        <f t="shared" si="31"/>
        <v>2020</v>
      </c>
      <c r="AH164" s="335">
        <f t="shared" si="31"/>
        <v>20000</v>
      </c>
      <c r="AI164" s="335">
        <f t="shared" si="31"/>
        <v>1500</v>
      </c>
      <c r="AJ164" s="335">
        <f t="shared" si="31"/>
        <v>3000</v>
      </c>
      <c r="AK164" s="335">
        <f t="shared" si="31"/>
        <v>250</v>
      </c>
      <c r="AL164" s="335">
        <f t="shared" si="31"/>
        <v>0</v>
      </c>
      <c r="AM164" s="335">
        <f t="shared" si="31"/>
        <v>200</v>
      </c>
      <c r="AN164" s="335">
        <f t="shared" si="31"/>
        <v>625</v>
      </c>
      <c r="AO164" s="335">
        <f t="shared" si="31"/>
        <v>0</v>
      </c>
      <c r="AP164" s="335">
        <f t="shared" si="31"/>
        <v>1833.35</v>
      </c>
      <c r="AQ164" s="335">
        <f t="shared" si="31"/>
        <v>111.1875</v>
      </c>
      <c r="AR164" s="335">
        <f t="shared" si="31"/>
        <v>63.75</v>
      </c>
      <c r="AS164" s="335">
        <f t="shared" si="31"/>
        <v>0</v>
      </c>
      <c r="AT164" s="335">
        <f t="shared" si="31"/>
        <v>0</v>
      </c>
      <c r="AU164" s="335">
        <f t="shared" si="31"/>
        <v>0</v>
      </c>
      <c r="AV164" s="335">
        <f t="shared" si="31"/>
        <v>0</v>
      </c>
      <c r="AW164" s="335">
        <f t="shared" si="31"/>
        <v>0</v>
      </c>
      <c r="AX164" s="335">
        <f t="shared" si="31"/>
        <v>5000</v>
      </c>
      <c r="AY164" s="335">
        <f t="shared" si="31"/>
        <v>1750</v>
      </c>
      <c r="AZ164" s="336"/>
      <c r="BA164" s="337"/>
    </row>
    <row r="165" spans="1:53" s="300" customFormat="1" ht="15.75" customHeight="1" thickTop="1" x14ac:dyDescent="0.3">
      <c r="A165" s="317">
        <v>6</v>
      </c>
      <c r="B165" s="270" t="s">
        <v>346</v>
      </c>
      <c r="C165" s="280"/>
      <c r="D165" s="249">
        <v>-100000</v>
      </c>
      <c r="E165" s="280" t="s">
        <v>347</v>
      </c>
      <c r="F165" s="249">
        <f t="shared" si="23"/>
        <v>144626.1975000001</v>
      </c>
      <c r="G165" s="333"/>
      <c r="H165" s="333"/>
      <c r="I165" s="333"/>
      <c r="J165" s="333"/>
      <c r="K165" s="278"/>
      <c r="L165" s="298"/>
      <c r="M165" s="278"/>
      <c r="N165" s="278"/>
      <c r="O165" s="278"/>
      <c r="P165" s="278"/>
      <c r="Q165" s="278"/>
      <c r="R165" s="278"/>
      <c r="S165" s="278"/>
      <c r="T165" s="242">
        <f>SUM(T164-C164)</f>
        <v>-454464.77999999991</v>
      </c>
      <c r="U165" s="310">
        <f t="shared" ref="U165:AY165" si="32">SUM(U164+U136+U110+U82+U50+U17)</f>
        <v>1574.75</v>
      </c>
      <c r="V165" s="236">
        <f t="shared" si="32"/>
        <v>3501.9</v>
      </c>
      <c r="W165" s="236">
        <f t="shared" si="32"/>
        <v>5672.9775</v>
      </c>
      <c r="X165" s="236">
        <f t="shared" si="32"/>
        <v>76800</v>
      </c>
      <c r="Y165" s="236">
        <f t="shared" si="32"/>
        <v>3893.4375</v>
      </c>
      <c r="Z165" s="236">
        <f t="shared" si="32"/>
        <v>15000</v>
      </c>
      <c r="AA165" s="236">
        <f t="shared" si="32"/>
        <v>82522.049999999988</v>
      </c>
      <c r="AB165" s="236">
        <f t="shared" si="32"/>
        <v>37500</v>
      </c>
      <c r="AC165" s="236">
        <f t="shared" si="32"/>
        <v>11750</v>
      </c>
      <c r="AD165" s="236">
        <f t="shared" si="32"/>
        <v>8370</v>
      </c>
      <c r="AE165" s="236">
        <f t="shared" si="32"/>
        <v>41665</v>
      </c>
      <c r="AF165" s="236">
        <f t="shared" si="32"/>
        <v>750</v>
      </c>
      <c r="AG165" s="236">
        <f t="shared" si="32"/>
        <v>10830</v>
      </c>
      <c r="AH165" s="236">
        <f t="shared" si="32"/>
        <v>107200</v>
      </c>
      <c r="AI165" s="236">
        <f t="shared" si="32"/>
        <v>8000</v>
      </c>
      <c r="AJ165" s="236">
        <f t="shared" si="32"/>
        <v>16000</v>
      </c>
      <c r="AK165" s="236">
        <f t="shared" si="32"/>
        <v>1250</v>
      </c>
      <c r="AL165" s="236">
        <f t="shared" si="32"/>
        <v>1500</v>
      </c>
      <c r="AM165" s="236">
        <f t="shared" si="32"/>
        <v>1000</v>
      </c>
      <c r="AN165" s="236">
        <f t="shared" si="32"/>
        <v>3125</v>
      </c>
      <c r="AO165" s="236">
        <f t="shared" si="32"/>
        <v>330.78</v>
      </c>
      <c r="AP165" s="236">
        <f t="shared" si="32"/>
        <v>9166.75</v>
      </c>
      <c r="AQ165" s="236">
        <f t="shared" si="32"/>
        <v>555.9375</v>
      </c>
      <c r="AR165" s="236">
        <f t="shared" si="32"/>
        <v>318.75</v>
      </c>
      <c r="AS165" s="236">
        <f t="shared" si="32"/>
        <v>1146</v>
      </c>
      <c r="AT165" s="236">
        <f t="shared" si="32"/>
        <v>19304.68</v>
      </c>
      <c r="AU165" s="236">
        <f t="shared" si="32"/>
        <v>8114.0700000000006</v>
      </c>
      <c r="AV165" s="236">
        <f t="shared" si="32"/>
        <v>750</v>
      </c>
      <c r="AW165" s="236">
        <f t="shared" si="32"/>
        <v>4500</v>
      </c>
      <c r="AX165" s="236">
        <f t="shared" si="32"/>
        <v>25000</v>
      </c>
      <c r="AY165" s="236">
        <f t="shared" si="32"/>
        <v>10250</v>
      </c>
      <c r="AZ165" s="310">
        <f>SUM(U165:AY165)</f>
        <v>517342.08250000002</v>
      </c>
    </row>
    <row r="166" spans="1:53" ht="15" thickBot="1" x14ac:dyDescent="0.35">
      <c r="K166" s="40"/>
      <c r="U166" s="64">
        <v>7850</v>
      </c>
      <c r="V166" s="65">
        <v>7910</v>
      </c>
      <c r="W166" s="65">
        <v>7950</v>
      </c>
      <c r="X166" s="65">
        <v>6730</v>
      </c>
      <c r="Y166" s="65">
        <v>7010</v>
      </c>
      <c r="Z166" s="65">
        <v>5710</v>
      </c>
      <c r="AA166" s="65">
        <v>5130</v>
      </c>
      <c r="AB166" s="65">
        <v>5510</v>
      </c>
      <c r="AC166" s="65">
        <v>7650</v>
      </c>
      <c r="AD166" s="65">
        <v>5750</v>
      </c>
      <c r="AE166" s="65">
        <v>5520</v>
      </c>
      <c r="AF166" s="65">
        <v>7090</v>
      </c>
      <c r="AG166" s="65">
        <v>8570</v>
      </c>
      <c r="AH166" s="65">
        <v>8510</v>
      </c>
      <c r="AI166" s="65">
        <v>8520</v>
      </c>
      <c r="AJ166" s="65">
        <v>8530</v>
      </c>
      <c r="AK166" s="65">
        <v>8590</v>
      </c>
      <c r="AL166" s="65">
        <v>5170</v>
      </c>
      <c r="AM166" s="65">
        <v>6770</v>
      </c>
      <c r="AN166" s="65">
        <v>5540</v>
      </c>
      <c r="AO166" s="65">
        <f t="shared" ref="AO166:AY166" si="33">SUM(AO4)</f>
        <v>6590</v>
      </c>
      <c r="AP166" s="65">
        <f t="shared" si="33"/>
        <v>6510</v>
      </c>
      <c r="AQ166" s="65">
        <f t="shared" si="33"/>
        <v>5780</v>
      </c>
      <c r="AR166" s="65">
        <f t="shared" si="33"/>
        <v>8540</v>
      </c>
      <c r="AS166" s="65">
        <f t="shared" si="33"/>
        <v>6720</v>
      </c>
      <c r="AT166" s="65">
        <f t="shared" si="33"/>
        <v>5880</v>
      </c>
      <c r="AU166" s="65">
        <f t="shared" si="33"/>
        <v>6550</v>
      </c>
      <c r="AV166" s="65">
        <f t="shared" si="33"/>
        <v>7010</v>
      </c>
      <c r="AW166" s="65">
        <f t="shared" ref="AW166" si="34">SUM(AW4)</f>
        <v>5840</v>
      </c>
      <c r="AX166" s="65">
        <v>9999</v>
      </c>
      <c r="AY166" s="65">
        <f t="shared" si="33"/>
        <v>7280</v>
      </c>
      <c r="AZ166" s="100">
        <f>SUM(AZ165-C164)</f>
        <v>1.1641532182693481E-10</v>
      </c>
    </row>
    <row r="167" spans="1:53" ht="15" customHeight="1" x14ac:dyDescent="0.3">
      <c r="B167" s="571" t="s">
        <v>137</v>
      </c>
      <c r="C167" s="571"/>
      <c r="D167" s="571"/>
      <c r="E167" s="571"/>
      <c r="F167" s="571"/>
      <c r="G167" s="571"/>
      <c r="H167" s="571"/>
      <c r="I167" s="571"/>
      <c r="J167" s="571"/>
      <c r="K167" s="571"/>
      <c r="L167" s="571"/>
      <c r="M167" s="571"/>
      <c r="N167" s="571"/>
      <c r="O167" s="571"/>
      <c r="P167" s="571"/>
      <c r="Q167" s="571"/>
      <c r="R167" s="571"/>
      <c r="S167" s="571"/>
      <c r="T167" s="571"/>
      <c r="U167" s="571"/>
      <c r="V167" s="571"/>
      <c r="W167" s="571"/>
      <c r="X167" s="571"/>
    </row>
    <row r="168" spans="1:53" x14ac:dyDescent="0.3">
      <c r="B168" s="572" t="s">
        <v>136</v>
      </c>
      <c r="C168" s="572"/>
      <c r="D168" s="572"/>
      <c r="E168" s="572"/>
      <c r="F168" s="572"/>
      <c r="G168" s="572"/>
      <c r="H168" s="572"/>
      <c r="I168" s="572"/>
      <c r="J168" s="572"/>
      <c r="K168" s="572"/>
      <c r="L168" s="572"/>
      <c r="M168" s="572"/>
      <c r="N168" s="572"/>
      <c r="O168" s="572"/>
      <c r="P168" s="572"/>
      <c r="Q168" s="572"/>
      <c r="R168" s="572"/>
      <c r="S168" s="572"/>
      <c r="T168" s="572"/>
      <c r="U168" s="572"/>
      <c r="V168" s="572"/>
      <c r="W168" s="572"/>
      <c r="X168" s="572"/>
    </row>
    <row r="169" spans="1:53" x14ac:dyDescent="0.3">
      <c r="B169" s="95" t="s">
        <v>135</v>
      </c>
      <c r="C169" s="95" t="s">
        <v>134</v>
      </c>
      <c r="D169" s="565" t="s">
        <v>133</v>
      </c>
      <c r="E169" s="565"/>
      <c r="F169" s="95" t="s">
        <v>132</v>
      </c>
      <c r="U169" s="26" t="s">
        <v>131</v>
      </c>
      <c r="V169" s="25"/>
      <c r="W169" s="24" t="s">
        <v>130</v>
      </c>
      <c r="X169" s="23" t="s">
        <v>129</v>
      </c>
    </row>
    <row r="170" spans="1:53" ht="15" customHeight="1" x14ac:dyDescent="0.3">
      <c r="C170" s="20" t="s">
        <v>128</v>
      </c>
      <c r="D170" s="20">
        <v>4308159</v>
      </c>
      <c r="E170" s="20" t="s">
        <v>114</v>
      </c>
      <c r="F170" s="19">
        <v>78820</v>
      </c>
      <c r="U170" s="576" t="s">
        <v>275</v>
      </c>
      <c r="V170" s="577"/>
      <c r="W170" s="18">
        <f>SUM(F170/2)</f>
        <v>39410</v>
      </c>
      <c r="X170" s="14">
        <v>2</v>
      </c>
    </row>
    <row r="171" spans="1:53" x14ac:dyDescent="0.3">
      <c r="B171" s="70" t="s">
        <v>263</v>
      </c>
      <c r="C171" s="17" t="s">
        <v>124</v>
      </c>
      <c r="D171" s="17">
        <v>6880</v>
      </c>
      <c r="E171" s="17" t="s">
        <v>112</v>
      </c>
      <c r="F171" s="16">
        <v>114059.67</v>
      </c>
      <c r="U171" s="85"/>
      <c r="V171" s="86"/>
      <c r="W171" s="18"/>
      <c r="X171" s="14"/>
    </row>
    <row r="172" spans="1:53" x14ac:dyDescent="0.3">
      <c r="B172" s="70" t="s">
        <v>263</v>
      </c>
      <c r="C172" s="17" t="s">
        <v>127</v>
      </c>
      <c r="D172" s="17">
        <v>6884</v>
      </c>
      <c r="E172" s="17" t="s">
        <v>112</v>
      </c>
      <c r="F172" s="16">
        <v>112371.34</v>
      </c>
      <c r="U172" s="93"/>
      <c r="V172" s="94"/>
      <c r="W172" s="18"/>
      <c r="X172" s="14"/>
    </row>
    <row r="173" spans="1:53" x14ac:dyDescent="0.3">
      <c r="B173" s="21"/>
      <c r="C173" s="20" t="s">
        <v>120</v>
      </c>
      <c r="D173" s="20">
        <v>4310638</v>
      </c>
      <c r="E173" s="20" t="s">
        <v>114</v>
      </c>
      <c r="F173" s="19">
        <v>262891.48</v>
      </c>
      <c r="U173" s="578" t="s">
        <v>274</v>
      </c>
      <c r="V173" s="579"/>
      <c r="W173" s="18">
        <f>SUM(F173-W174)/3</f>
        <v>74493.82666666666</v>
      </c>
      <c r="X173" s="14">
        <v>3</v>
      </c>
    </row>
    <row r="174" spans="1:53" ht="15" customHeight="1" x14ac:dyDescent="0.3">
      <c r="B174" s="70" t="s">
        <v>263</v>
      </c>
      <c r="C174" s="17" t="s">
        <v>118</v>
      </c>
      <c r="D174" s="17">
        <v>6885</v>
      </c>
      <c r="E174" s="17" t="s">
        <v>112</v>
      </c>
      <c r="F174" s="16">
        <v>119172.22</v>
      </c>
      <c r="U174" s="573" t="s">
        <v>273</v>
      </c>
      <c r="V174" s="574"/>
      <c r="W174" s="18">
        <f>W170</f>
        <v>39410</v>
      </c>
      <c r="X174" s="14">
        <v>1</v>
      </c>
    </row>
    <row r="175" spans="1:53" x14ac:dyDescent="0.3">
      <c r="B175" s="70" t="s">
        <v>263</v>
      </c>
      <c r="C175" s="17" t="s">
        <v>127</v>
      </c>
      <c r="D175" s="17">
        <v>6884</v>
      </c>
      <c r="E175" s="17" t="s">
        <v>112</v>
      </c>
      <c r="F175" s="16">
        <v>112371.34</v>
      </c>
      <c r="U175" s="93"/>
      <c r="V175" s="94"/>
      <c r="W175" s="18"/>
      <c r="X175" s="14"/>
    </row>
    <row r="176" spans="1:53" x14ac:dyDescent="0.3">
      <c r="B176" s="70" t="s">
        <v>263</v>
      </c>
      <c r="C176" s="17" t="s">
        <v>126</v>
      </c>
      <c r="D176" s="17">
        <v>6879</v>
      </c>
      <c r="E176" s="17" t="s">
        <v>112</v>
      </c>
      <c r="F176" s="16">
        <v>60782.47</v>
      </c>
      <c r="U176" s="93"/>
      <c r="V176" s="94"/>
      <c r="W176" s="18"/>
      <c r="X176" s="14"/>
    </row>
    <row r="177" spans="1:53" x14ac:dyDescent="0.3">
      <c r="B177" s="70" t="s">
        <v>263</v>
      </c>
      <c r="C177" s="17" t="s">
        <v>125</v>
      </c>
      <c r="D177" s="17">
        <v>6877</v>
      </c>
      <c r="E177" s="17" t="s">
        <v>112</v>
      </c>
      <c r="F177" s="16">
        <v>114059.67</v>
      </c>
      <c r="U177" s="93"/>
      <c r="V177" s="94"/>
      <c r="W177" s="18"/>
      <c r="X177" s="14"/>
    </row>
    <row r="178" spans="1:53" s="7" customFormat="1" x14ac:dyDescent="0.3">
      <c r="A178" s="8"/>
      <c r="B178" s="70" t="s">
        <v>263</v>
      </c>
      <c r="C178" s="17" t="s">
        <v>124</v>
      </c>
      <c r="D178" s="17">
        <v>6880</v>
      </c>
      <c r="E178" s="17" t="s">
        <v>112</v>
      </c>
      <c r="F178" s="16">
        <v>114059.67</v>
      </c>
      <c r="G178" s="84"/>
      <c r="H178" s="84"/>
      <c r="I178" s="84"/>
      <c r="J178" s="84"/>
      <c r="L178" s="38"/>
      <c r="U178" s="93"/>
      <c r="V178" s="94"/>
      <c r="W178" s="18"/>
      <c r="X178" s="14"/>
      <c r="AY178" s="62"/>
      <c r="AZ178" s="121"/>
      <c r="BA178" s="97"/>
    </row>
    <row r="179" spans="1:53" s="7" customFormat="1" x14ac:dyDescent="0.3">
      <c r="A179" s="8"/>
      <c r="B179" s="21"/>
      <c r="C179" s="20" t="s">
        <v>123</v>
      </c>
      <c r="D179" s="20">
        <v>4313171</v>
      </c>
      <c r="E179" s="20" t="s">
        <v>114</v>
      </c>
      <c r="F179" s="19">
        <v>81261.600000000006</v>
      </c>
      <c r="G179" s="84"/>
      <c r="H179" s="84"/>
      <c r="I179" s="84"/>
      <c r="J179" s="84"/>
      <c r="L179" s="38"/>
      <c r="U179" s="573" t="s">
        <v>272</v>
      </c>
      <c r="V179" s="574"/>
      <c r="W179" s="18">
        <f>SUM(F179/2)</f>
        <v>40630.800000000003</v>
      </c>
      <c r="X179" s="14">
        <v>2</v>
      </c>
      <c r="AY179" s="62"/>
      <c r="AZ179" s="121"/>
      <c r="BA179" s="97"/>
    </row>
    <row r="180" spans="1:53" s="7" customFormat="1" ht="15" customHeight="1" x14ac:dyDescent="0.3">
      <c r="A180" s="8"/>
      <c r="B180" s="70" t="s">
        <v>263</v>
      </c>
      <c r="C180" s="17" t="s">
        <v>119</v>
      </c>
      <c r="D180" s="17">
        <v>6895</v>
      </c>
      <c r="E180" s="17" t="s">
        <v>112</v>
      </c>
      <c r="F180" s="16">
        <v>119172.22</v>
      </c>
      <c r="G180" s="84"/>
      <c r="H180" s="84"/>
      <c r="I180" s="84"/>
      <c r="J180" s="84"/>
      <c r="L180" s="38"/>
      <c r="U180" s="93"/>
      <c r="V180" s="94"/>
      <c r="W180" s="18"/>
      <c r="X180" s="14"/>
      <c r="AY180" s="62"/>
      <c r="AZ180" s="121"/>
      <c r="BA180" s="97"/>
    </row>
    <row r="181" spans="1:53" s="7" customFormat="1" x14ac:dyDescent="0.3">
      <c r="A181" s="8"/>
      <c r="B181" s="70" t="s">
        <v>263</v>
      </c>
      <c r="C181" s="17" t="s">
        <v>120</v>
      </c>
      <c r="D181" s="17">
        <v>6894</v>
      </c>
      <c r="E181" s="17" t="s">
        <v>112</v>
      </c>
      <c r="F181" s="16">
        <v>119172.22</v>
      </c>
      <c r="G181" s="84"/>
      <c r="H181" s="84"/>
      <c r="I181" s="84"/>
      <c r="J181" s="84"/>
      <c r="L181" s="38"/>
      <c r="U181" s="93"/>
      <c r="V181" s="94"/>
      <c r="W181" s="18"/>
      <c r="X181" s="14"/>
      <c r="AY181" s="62"/>
      <c r="AZ181" s="121"/>
      <c r="BA181" s="97"/>
    </row>
    <row r="182" spans="1:53" s="7" customFormat="1" x14ac:dyDescent="0.3">
      <c r="A182" s="8"/>
      <c r="B182" s="21"/>
      <c r="C182" s="20" t="s">
        <v>122</v>
      </c>
      <c r="D182" s="20">
        <v>4315955</v>
      </c>
      <c r="E182" s="20" t="s">
        <v>114</v>
      </c>
      <c r="F182" s="19">
        <v>342423.47</v>
      </c>
      <c r="G182" s="84"/>
      <c r="H182" s="84"/>
      <c r="I182" s="84"/>
      <c r="J182" s="84"/>
      <c r="L182" s="38"/>
      <c r="U182" s="573" t="s">
        <v>271</v>
      </c>
      <c r="V182" s="574"/>
      <c r="W182" s="18">
        <f>SUM(F182-F187)/3</f>
        <v>100597.55666666666</v>
      </c>
      <c r="X182" s="14">
        <v>3</v>
      </c>
      <c r="AY182" s="62"/>
      <c r="AZ182" s="121"/>
      <c r="BA182" s="97"/>
    </row>
    <row r="183" spans="1:53" s="7" customFormat="1" ht="15" customHeight="1" x14ac:dyDescent="0.3">
      <c r="A183" s="8"/>
      <c r="B183" s="70" t="s">
        <v>263</v>
      </c>
      <c r="C183" s="17" t="s">
        <v>121</v>
      </c>
      <c r="D183" s="17">
        <v>6897</v>
      </c>
      <c r="E183" s="17" t="s">
        <v>112</v>
      </c>
      <c r="F183" s="16">
        <v>185340.63</v>
      </c>
      <c r="G183" s="84"/>
      <c r="H183" s="84"/>
      <c r="I183" s="84"/>
      <c r="J183" s="84"/>
      <c r="L183" s="38"/>
      <c r="U183" s="573" t="s">
        <v>270</v>
      </c>
      <c r="V183" s="574"/>
      <c r="W183" s="18">
        <f>SUM(W187)</f>
        <v>40630.800000000003</v>
      </c>
      <c r="X183" s="14">
        <v>1</v>
      </c>
      <c r="AY183" s="62"/>
      <c r="AZ183" s="121"/>
      <c r="BA183" s="97"/>
    </row>
    <row r="184" spans="1:53" s="7" customFormat="1" x14ac:dyDescent="0.3">
      <c r="A184" s="8"/>
      <c r="B184" s="70" t="s">
        <v>263</v>
      </c>
      <c r="C184" s="17" t="s">
        <v>120</v>
      </c>
      <c r="D184" s="17">
        <v>6894</v>
      </c>
      <c r="E184" s="17" t="s">
        <v>112</v>
      </c>
      <c r="F184" s="16">
        <v>119172.22</v>
      </c>
      <c r="G184" s="84"/>
      <c r="H184" s="84"/>
      <c r="I184" s="84"/>
      <c r="J184" s="84"/>
      <c r="L184" s="38"/>
      <c r="U184" s="93"/>
      <c r="V184" s="94"/>
      <c r="W184" s="18"/>
      <c r="X184" s="14"/>
      <c r="AY184" s="62"/>
      <c r="AZ184" s="121"/>
      <c r="BA184" s="97"/>
    </row>
    <row r="185" spans="1:53" s="7" customFormat="1" x14ac:dyDescent="0.3">
      <c r="A185" s="8"/>
      <c r="B185" s="70" t="s">
        <v>263</v>
      </c>
      <c r="C185" s="17" t="s">
        <v>119</v>
      </c>
      <c r="D185" s="17">
        <v>6895</v>
      </c>
      <c r="E185" s="17" t="s">
        <v>112</v>
      </c>
      <c r="F185" s="16">
        <v>119172.22</v>
      </c>
      <c r="G185" s="84"/>
      <c r="H185" s="84"/>
      <c r="I185" s="84"/>
      <c r="J185" s="84"/>
      <c r="L185" s="38"/>
      <c r="U185" s="93"/>
      <c r="V185" s="94"/>
      <c r="W185" s="18"/>
      <c r="X185" s="14"/>
      <c r="AY185" s="62"/>
      <c r="AZ185" s="121"/>
      <c r="BA185" s="97"/>
    </row>
    <row r="186" spans="1:53" s="7" customFormat="1" x14ac:dyDescent="0.3">
      <c r="A186" s="8"/>
      <c r="B186" s="70" t="s">
        <v>263</v>
      </c>
      <c r="C186" s="17" t="s">
        <v>118</v>
      </c>
      <c r="D186" s="17">
        <v>6885</v>
      </c>
      <c r="E186" s="17" t="s">
        <v>112</v>
      </c>
      <c r="F186" s="16">
        <v>119172.22</v>
      </c>
      <c r="G186" s="84"/>
      <c r="H186" s="84"/>
      <c r="I186" s="84"/>
      <c r="J186" s="84"/>
      <c r="L186" s="38"/>
      <c r="U186" s="93"/>
      <c r="V186" s="94"/>
      <c r="W186" s="18"/>
      <c r="X186" s="14"/>
      <c r="AY186" s="62"/>
      <c r="AZ186" s="121"/>
      <c r="BA186" s="97"/>
    </row>
    <row r="187" spans="1:53" s="7" customFormat="1" x14ac:dyDescent="0.3">
      <c r="A187" s="8"/>
      <c r="B187" s="21"/>
      <c r="C187" s="20" t="s">
        <v>117</v>
      </c>
      <c r="D187" s="20">
        <v>4317338</v>
      </c>
      <c r="E187" s="20" t="s">
        <v>114</v>
      </c>
      <c r="F187" s="19">
        <v>40630.800000000003</v>
      </c>
      <c r="G187" s="84"/>
      <c r="H187" s="84"/>
      <c r="I187" s="84"/>
      <c r="J187" s="84"/>
      <c r="L187" s="38"/>
      <c r="U187" s="573" t="s">
        <v>276</v>
      </c>
      <c r="V187" s="574"/>
      <c r="W187" s="18">
        <f>SUM(F187)</f>
        <v>40630.800000000003</v>
      </c>
      <c r="X187" s="14">
        <v>1</v>
      </c>
      <c r="AY187" s="62"/>
      <c r="AZ187" s="121"/>
      <c r="BA187" s="97"/>
    </row>
    <row r="188" spans="1:53" s="7" customFormat="1" x14ac:dyDescent="0.3">
      <c r="A188" s="8"/>
      <c r="B188" s="70" t="s">
        <v>263</v>
      </c>
      <c r="C188" s="17" t="s">
        <v>116</v>
      </c>
      <c r="D188" s="17">
        <v>6898</v>
      </c>
      <c r="E188" s="17" t="s">
        <v>112</v>
      </c>
      <c r="F188" s="16">
        <v>119172.22</v>
      </c>
      <c r="G188" s="84"/>
      <c r="H188" s="84"/>
      <c r="I188" s="84"/>
      <c r="J188" s="84"/>
      <c r="L188" s="38"/>
      <c r="U188" s="93"/>
      <c r="V188" s="94"/>
      <c r="W188" s="18"/>
      <c r="X188" s="14"/>
      <c r="AY188" s="62"/>
      <c r="AZ188" s="121"/>
      <c r="BA188" s="97"/>
    </row>
    <row r="189" spans="1:53" s="7" customFormat="1" x14ac:dyDescent="0.3">
      <c r="A189" s="8"/>
      <c r="B189" s="21"/>
      <c r="C189" s="20" t="s">
        <v>115</v>
      </c>
      <c r="D189" s="20">
        <v>4318254</v>
      </c>
      <c r="E189" s="20" t="s">
        <v>114</v>
      </c>
      <c r="F189" s="19">
        <v>40630.800000000003</v>
      </c>
      <c r="G189" s="84"/>
      <c r="H189" s="84"/>
      <c r="I189" s="84"/>
      <c r="J189" s="84"/>
      <c r="L189" s="38"/>
      <c r="U189" s="573" t="s">
        <v>277</v>
      </c>
      <c r="V189" s="574"/>
      <c r="W189" s="18">
        <f>SUM(W187)</f>
        <v>40630.800000000003</v>
      </c>
      <c r="X189" s="14">
        <v>1</v>
      </c>
      <c r="AY189" s="62"/>
      <c r="AZ189" s="121"/>
      <c r="BA189" s="97"/>
    </row>
    <row r="190" spans="1:53" s="7" customFormat="1" x14ac:dyDescent="0.3">
      <c r="A190" s="8"/>
      <c r="B190" s="70" t="s">
        <v>263</v>
      </c>
      <c r="C190" s="17" t="s">
        <v>113</v>
      </c>
      <c r="D190" s="17">
        <v>6901</v>
      </c>
      <c r="E190" s="17" t="s">
        <v>112</v>
      </c>
      <c r="F190" s="16">
        <v>119172.22</v>
      </c>
      <c r="G190" s="84"/>
      <c r="H190" s="84"/>
      <c r="I190" s="84"/>
      <c r="J190" s="84"/>
      <c r="L190" s="38"/>
      <c r="U190" s="22"/>
      <c r="V190" s="14"/>
      <c r="W190" s="15"/>
      <c r="X190" s="14"/>
      <c r="AY190" s="62"/>
      <c r="AZ190" s="121"/>
      <c r="BA190" s="97"/>
    </row>
    <row r="191" spans="1:53" s="7" customFormat="1" ht="9.75" customHeight="1" x14ac:dyDescent="0.3">
      <c r="A191" s="8"/>
      <c r="F191" s="13"/>
      <c r="G191" s="84"/>
      <c r="H191" s="84"/>
      <c r="I191" s="84"/>
      <c r="J191" s="84"/>
      <c r="L191" s="38"/>
      <c r="U191" s="121"/>
      <c r="AY191" s="62"/>
      <c r="AZ191" s="121"/>
      <c r="BA191" s="97"/>
    </row>
    <row r="192" spans="1:53" s="7" customFormat="1" x14ac:dyDescent="0.3">
      <c r="A192" s="575" t="s">
        <v>111</v>
      </c>
      <c r="B192" s="575"/>
      <c r="C192" s="575"/>
      <c r="D192" s="12">
        <f>SUM(103+39+45+51+36+12)/6</f>
        <v>47.666666666666664</v>
      </c>
      <c r="E192" s="11" t="s">
        <v>109</v>
      </c>
      <c r="F192" s="10">
        <f>SUM(C189+D192)</f>
        <v>43899.666666666664</v>
      </c>
      <c r="G192" s="84"/>
      <c r="H192" s="84"/>
      <c r="I192" s="84"/>
      <c r="J192" s="84"/>
      <c r="L192" s="38"/>
      <c r="U192" s="122">
        <f>SUM(F192+D192)</f>
        <v>43947.333333333328</v>
      </c>
      <c r="V192" s="10">
        <f>SUM(U192+D192)</f>
        <v>43994.999999999993</v>
      </c>
      <c r="W192" s="9">
        <f>SUM(V192+D192)</f>
        <v>44042.666666666657</v>
      </c>
      <c r="X192" s="9">
        <f>SUM(W192+D192)</f>
        <v>44090.333333333321</v>
      </c>
      <c r="AY192" s="62"/>
      <c r="AZ192" s="121"/>
      <c r="BA192" s="97"/>
    </row>
    <row r="193" spans="1:53" s="7" customFormat="1" x14ac:dyDescent="0.3">
      <c r="A193" s="575" t="s">
        <v>110</v>
      </c>
      <c r="B193" s="575"/>
      <c r="C193" s="575"/>
      <c r="D193" s="12">
        <f>SUM(100+96)/2</f>
        <v>98</v>
      </c>
      <c r="E193" s="11" t="s">
        <v>109</v>
      </c>
      <c r="F193" s="10">
        <f>SUM(C182+D193)</f>
        <v>43902</v>
      </c>
      <c r="G193" s="84"/>
      <c r="H193" s="84"/>
      <c r="I193" s="84"/>
      <c r="J193" s="84"/>
      <c r="L193" s="38"/>
      <c r="U193" s="122">
        <f>SUM(F193+D193)</f>
        <v>44000</v>
      </c>
      <c r="V193" s="10">
        <f>SUM(U193+D193)</f>
        <v>44098</v>
      </c>
      <c r="W193" s="9">
        <f>SUM(V193+D193)</f>
        <v>44196</v>
      </c>
      <c r="X193" s="9">
        <f>SUM(W193+D193)</f>
        <v>44294</v>
      </c>
      <c r="AY193" s="62"/>
      <c r="AZ193" s="121"/>
      <c r="BA193" s="97"/>
    </row>
  </sheetData>
  <mergeCells count="22">
    <mergeCell ref="H100:I100"/>
    <mergeCell ref="A1:G1"/>
    <mergeCell ref="A2:G2"/>
    <mergeCell ref="G4:J4"/>
    <mergeCell ref="H39:I39"/>
    <mergeCell ref="H71:I71"/>
    <mergeCell ref="U189:V189"/>
    <mergeCell ref="A192:C192"/>
    <mergeCell ref="A193:C193"/>
    <mergeCell ref="A3:F3"/>
    <mergeCell ref="U173:V173"/>
    <mergeCell ref="U174:V174"/>
    <mergeCell ref="U179:V179"/>
    <mergeCell ref="U182:V182"/>
    <mergeCell ref="U183:V183"/>
    <mergeCell ref="U187:V187"/>
    <mergeCell ref="H127:I127"/>
    <mergeCell ref="H155:I155"/>
    <mergeCell ref="B167:X167"/>
    <mergeCell ref="B168:X168"/>
    <mergeCell ref="D169:E169"/>
    <mergeCell ref="U170:V170"/>
  </mergeCells>
  <printOptions horizontalCentered="1"/>
  <pageMargins left="0.25" right="0.25" top="0.25" bottom="0.25" header="0" footer="0"/>
  <pageSetup scale="86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B8171-2DFA-4E5C-A05D-8E6985D71221}">
  <sheetPr codeName="Sheet4">
    <pageSetUpPr fitToPage="1"/>
  </sheetPr>
  <dimension ref="A1:O103"/>
  <sheetViews>
    <sheetView workbookViewId="0">
      <pane ySplit="5" topLeftCell="A57" activePane="bottomLeft" state="frozen"/>
      <selection activeCell="A5" sqref="A5"/>
      <selection pane="bottomLeft" activeCell="Q74" sqref="Q74"/>
    </sheetView>
  </sheetViews>
  <sheetFormatPr defaultColWidth="9.109375" defaultRowHeight="14.4" x14ac:dyDescent="0.3"/>
  <cols>
    <col min="1" max="1" width="35.6640625" style="97" customWidth="1"/>
    <col min="2" max="7" width="10.44140625" style="97" bestFit="1" customWidth="1"/>
    <col min="8" max="8" width="10.109375" style="97" bestFit="1" customWidth="1"/>
    <col min="9" max="10" width="11" style="97" bestFit="1" customWidth="1"/>
    <col min="11" max="13" width="10.109375" style="97" bestFit="1" customWidth="1"/>
    <col min="14" max="14" width="11.6640625" style="97" bestFit="1" customWidth="1"/>
    <col min="15" max="15" width="18" style="7" bestFit="1" customWidth="1"/>
    <col min="16" max="16384" width="9.109375" style="97"/>
  </cols>
  <sheetData>
    <row r="1" spans="1:15" ht="15.6" x14ac:dyDescent="0.3">
      <c r="A1" s="584" t="s">
        <v>108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</row>
    <row r="2" spans="1:15" ht="15.6" x14ac:dyDescent="0.3">
      <c r="A2" s="584" t="s">
        <v>371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</row>
    <row r="3" spans="1:15" x14ac:dyDescent="0.3">
      <c r="A3" s="587" t="s">
        <v>380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</row>
    <row r="5" spans="1:15" x14ac:dyDescent="0.3">
      <c r="A5" s="221"/>
      <c r="B5" s="222" t="s">
        <v>0</v>
      </c>
      <c r="C5" s="222" t="s">
        <v>1</v>
      </c>
      <c r="D5" s="222" t="s">
        <v>2</v>
      </c>
      <c r="E5" s="222" t="s">
        <v>3</v>
      </c>
      <c r="F5" s="222" t="s">
        <v>4</v>
      </c>
      <c r="G5" s="222" t="s">
        <v>5</v>
      </c>
      <c r="H5" s="222" t="s">
        <v>6</v>
      </c>
      <c r="I5" s="222" t="s">
        <v>7</v>
      </c>
      <c r="J5" s="222" t="s">
        <v>8</v>
      </c>
      <c r="K5" s="222" t="s">
        <v>9</v>
      </c>
      <c r="L5" s="222" t="s">
        <v>10</v>
      </c>
      <c r="M5" s="222" t="s">
        <v>11</v>
      </c>
      <c r="N5" s="222" t="s">
        <v>12</v>
      </c>
      <c r="O5" s="223" t="s">
        <v>349</v>
      </c>
    </row>
    <row r="6" spans="1:15" x14ac:dyDescent="0.3">
      <c r="A6" s="1" t="s">
        <v>13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x14ac:dyDescent="0.3">
      <c r="A7" s="1" t="s">
        <v>14</v>
      </c>
      <c r="B7" s="127">
        <f t="shared" ref="B7:M7" si="0">78541.42</f>
        <v>78541.42</v>
      </c>
      <c r="C7" s="127">
        <f t="shared" si="0"/>
        <v>78541.42</v>
      </c>
      <c r="D7" s="127">
        <f t="shared" si="0"/>
        <v>78541.42</v>
      </c>
      <c r="E7" s="127">
        <f t="shared" si="0"/>
        <v>78541.42</v>
      </c>
      <c r="F7" s="127">
        <f t="shared" si="0"/>
        <v>78541.42</v>
      </c>
      <c r="G7" s="127">
        <f t="shared" si="0"/>
        <v>78541.42</v>
      </c>
      <c r="H7" s="127">
        <f t="shared" si="0"/>
        <v>78541.42</v>
      </c>
      <c r="I7" s="127">
        <f t="shared" si="0"/>
        <v>78541.42</v>
      </c>
      <c r="J7" s="127">
        <f t="shared" si="0"/>
        <v>78541.42</v>
      </c>
      <c r="K7" s="127">
        <f t="shared" si="0"/>
        <v>78541.42</v>
      </c>
      <c r="L7" s="127">
        <f t="shared" si="0"/>
        <v>78541.42</v>
      </c>
      <c r="M7" s="127">
        <f t="shared" si="0"/>
        <v>78541.42</v>
      </c>
      <c r="N7" s="127">
        <f t="shared" ref="N7:N16" si="1">(((((((((((B7)+(C7))+(D7))+(E7))+(F7))+(G7))+(H7))+(I7))+(J7))+(K7))+(L7))+(M7)</f>
        <v>942497.04000000015</v>
      </c>
      <c r="O7" s="7" t="s">
        <v>350</v>
      </c>
    </row>
    <row r="8" spans="1:15" x14ac:dyDescent="0.3">
      <c r="A8" s="1" t="s">
        <v>15</v>
      </c>
      <c r="B8" s="2"/>
      <c r="C8" s="2"/>
      <c r="D8" s="2"/>
      <c r="E8" s="3">
        <f>66168.41</f>
        <v>66168.41</v>
      </c>
      <c r="F8" s="2"/>
      <c r="G8" s="2"/>
      <c r="H8" s="2"/>
      <c r="I8" s="2"/>
      <c r="J8" s="2"/>
      <c r="K8" s="2"/>
      <c r="L8" s="2"/>
      <c r="M8" s="2"/>
      <c r="N8" s="3">
        <f t="shared" si="1"/>
        <v>66168.41</v>
      </c>
    </row>
    <row r="9" spans="1:15" x14ac:dyDescent="0.3">
      <c r="A9" s="1" t="s">
        <v>16</v>
      </c>
      <c r="B9" s="127">
        <f t="shared" ref="B9:M9" si="2">40630.8</f>
        <v>40630.800000000003</v>
      </c>
      <c r="C9" s="127">
        <f t="shared" si="2"/>
        <v>40630.800000000003</v>
      </c>
      <c r="D9" s="127">
        <f t="shared" si="2"/>
        <v>40630.800000000003</v>
      </c>
      <c r="E9" s="127">
        <f t="shared" si="2"/>
        <v>40630.800000000003</v>
      </c>
      <c r="F9" s="127">
        <f t="shared" si="2"/>
        <v>40630.800000000003</v>
      </c>
      <c r="G9" s="127">
        <f t="shared" si="2"/>
        <v>40630.800000000003</v>
      </c>
      <c r="H9" s="127">
        <f t="shared" si="2"/>
        <v>40630.800000000003</v>
      </c>
      <c r="I9" s="127">
        <f t="shared" si="2"/>
        <v>40630.800000000003</v>
      </c>
      <c r="J9" s="127">
        <f t="shared" si="2"/>
        <v>40630.800000000003</v>
      </c>
      <c r="K9" s="127">
        <f t="shared" si="2"/>
        <v>40630.800000000003</v>
      </c>
      <c r="L9" s="127">
        <f t="shared" si="2"/>
        <v>40630.800000000003</v>
      </c>
      <c r="M9" s="127">
        <f t="shared" si="2"/>
        <v>40630.800000000003</v>
      </c>
      <c r="N9" s="127">
        <f t="shared" si="1"/>
        <v>487569.59999999992</v>
      </c>
      <c r="O9" s="7" t="s">
        <v>350</v>
      </c>
    </row>
    <row r="10" spans="1:15" x14ac:dyDescent="0.3">
      <c r="A10" s="1" t="s">
        <v>17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>
        <f t="shared" si="1"/>
        <v>0</v>
      </c>
    </row>
    <row r="11" spans="1:15" x14ac:dyDescent="0.3">
      <c r="A11" s="1" t="s">
        <v>18</v>
      </c>
      <c r="B11" s="2"/>
      <c r="C11" s="2"/>
      <c r="D11" s="3">
        <f>0</f>
        <v>0</v>
      </c>
      <c r="E11" s="2"/>
      <c r="F11" s="2"/>
      <c r="G11" s="2"/>
      <c r="H11" s="2"/>
      <c r="I11" s="2"/>
      <c r="J11" s="2"/>
      <c r="K11" s="2"/>
      <c r="L11" s="2"/>
      <c r="M11" s="2"/>
      <c r="N11" s="3">
        <f t="shared" si="1"/>
        <v>0</v>
      </c>
    </row>
    <row r="12" spans="1:15" x14ac:dyDescent="0.3">
      <c r="A12" s="1" t="s">
        <v>19</v>
      </c>
      <c r="B12" s="2"/>
      <c r="C12" s="3">
        <f>1350</f>
        <v>1350</v>
      </c>
      <c r="D12" s="3">
        <f>500</f>
        <v>500</v>
      </c>
      <c r="E12" s="2"/>
      <c r="F12" s="3">
        <f>850</f>
        <v>850</v>
      </c>
      <c r="G12" s="2"/>
      <c r="H12" s="2"/>
      <c r="I12" s="2"/>
      <c r="J12" s="2"/>
      <c r="K12" s="2"/>
      <c r="L12" s="2"/>
      <c r="M12" s="2"/>
      <c r="N12" s="3">
        <f t="shared" si="1"/>
        <v>2700</v>
      </c>
    </row>
    <row r="13" spans="1:15" x14ac:dyDescent="0.3">
      <c r="A13" s="1" t="s">
        <v>20</v>
      </c>
      <c r="B13" s="3">
        <f>31.77</f>
        <v>31.77</v>
      </c>
      <c r="C13" s="3">
        <f>24.2</f>
        <v>24.2</v>
      </c>
      <c r="D13" s="3">
        <f>17.23</f>
        <v>17.23</v>
      </c>
      <c r="E13" s="3">
        <f>21.93</f>
        <v>21.93</v>
      </c>
      <c r="F13" s="3">
        <f>15.4</f>
        <v>15.4</v>
      </c>
      <c r="G13" s="3">
        <f>28.69</f>
        <v>28.69</v>
      </c>
      <c r="H13" s="2"/>
      <c r="I13" s="2"/>
      <c r="J13" s="2"/>
      <c r="K13" s="2"/>
      <c r="L13" s="2"/>
      <c r="M13" s="2"/>
      <c r="N13" s="3">
        <f t="shared" si="1"/>
        <v>139.22</v>
      </c>
    </row>
    <row r="14" spans="1:15" x14ac:dyDescent="0.3">
      <c r="A14" s="1" t="s">
        <v>21</v>
      </c>
      <c r="B14" s="4">
        <f t="shared" ref="B14:M14" si="3">(((B10)+(B11))+(B12))+(B13)</f>
        <v>31.77</v>
      </c>
      <c r="C14" s="4">
        <f t="shared" si="3"/>
        <v>1374.2</v>
      </c>
      <c r="D14" s="4">
        <f t="shared" si="3"/>
        <v>517.23</v>
      </c>
      <c r="E14" s="4">
        <f t="shared" si="3"/>
        <v>21.93</v>
      </c>
      <c r="F14" s="4">
        <f t="shared" si="3"/>
        <v>865.4</v>
      </c>
      <c r="G14" s="4">
        <f t="shared" si="3"/>
        <v>28.69</v>
      </c>
      <c r="H14" s="4">
        <f t="shared" si="3"/>
        <v>0</v>
      </c>
      <c r="I14" s="4">
        <f t="shared" si="3"/>
        <v>0</v>
      </c>
      <c r="J14" s="4">
        <f t="shared" si="3"/>
        <v>0</v>
      </c>
      <c r="K14" s="4">
        <f t="shared" si="3"/>
        <v>0</v>
      </c>
      <c r="L14" s="4">
        <f t="shared" si="3"/>
        <v>0</v>
      </c>
      <c r="M14" s="4">
        <f t="shared" si="3"/>
        <v>0</v>
      </c>
      <c r="N14" s="4">
        <f t="shared" si="1"/>
        <v>2839.2200000000003</v>
      </c>
    </row>
    <row r="15" spans="1:15" x14ac:dyDescent="0.3">
      <c r="A15" s="1" t="s">
        <v>22</v>
      </c>
      <c r="B15" s="4">
        <f t="shared" ref="B15:M15" si="4">(((B7)+(B8))+(B9))+(B14)</f>
        <v>119203.99</v>
      </c>
      <c r="C15" s="4">
        <f t="shared" si="4"/>
        <v>120546.42</v>
      </c>
      <c r="D15" s="4">
        <f t="shared" si="4"/>
        <v>119689.45</v>
      </c>
      <c r="E15" s="4">
        <f t="shared" si="4"/>
        <v>185362.56</v>
      </c>
      <c r="F15" s="4">
        <f t="shared" si="4"/>
        <v>120037.62</v>
      </c>
      <c r="G15" s="4">
        <f t="shared" si="4"/>
        <v>119200.91</v>
      </c>
      <c r="H15" s="4">
        <f t="shared" si="4"/>
        <v>119172.22</v>
      </c>
      <c r="I15" s="4">
        <f t="shared" si="4"/>
        <v>119172.22</v>
      </c>
      <c r="J15" s="4">
        <f t="shared" si="4"/>
        <v>119172.22</v>
      </c>
      <c r="K15" s="4">
        <f t="shared" si="4"/>
        <v>119172.22</v>
      </c>
      <c r="L15" s="4">
        <f t="shared" si="4"/>
        <v>119172.22</v>
      </c>
      <c r="M15" s="4">
        <f t="shared" si="4"/>
        <v>119172.22</v>
      </c>
      <c r="N15" s="4">
        <f t="shared" si="1"/>
        <v>1499074.2699999998</v>
      </c>
    </row>
    <row r="16" spans="1:15" x14ac:dyDescent="0.3">
      <c r="A16" s="1" t="s">
        <v>23</v>
      </c>
      <c r="B16" s="4">
        <f t="shared" ref="B16:M16" si="5">(B15)-(0)</f>
        <v>119203.99</v>
      </c>
      <c r="C16" s="4">
        <f t="shared" si="5"/>
        <v>120546.42</v>
      </c>
      <c r="D16" s="4">
        <f t="shared" si="5"/>
        <v>119689.45</v>
      </c>
      <c r="E16" s="4">
        <f t="shared" si="5"/>
        <v>185362.56</v>
      </c>
      <c r="F16" s="4">
        <f t="shared" si="5"/>
        <v>120037.62</v>
      </c>
      <c r="G16" s="4">
        <f t="shared" si="5"/>
        <v>119200.91</v>
      </c>
      <c r="H16" s="4">
        <f t="shared" si="5"/>
        <v>119172.22</v>
      </c>
      <c r="I16" s="4">
        <f t="shared" si="5"/>
        <v>119172.22</v>
      </c>
      <c r="J16" s="4">
        <f t="shared" si="5"/>
        <v>119172.22</v>
      </c>
      <c r="K16" s="4">
        <f t="shared" si="5"/>
        <v>119172.22</v>
      </c>
      <c r="L16" s="4">
        <f t="shared" si="5"/>
        <v>119172.22</v>
      </c>
      <c r="M16" s="4">
        <f t="shared" si="5"/>
        <v>119172.22</v>
      </c>
      <c r="N16" s="4">
        <f t="shared" si="1"/>
        <v>1499074.2699999998</v>
      </c>
    </row>
    <row r="17" spans="1:15" x14ac:dyDescent="0.3">
      <c r="A17" s="1" t="s">
        <v>24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5" x14ac:dyDescent="0.3">
      <c r="A18" s="1" t="s">
        <v>25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>
        <f t="shared" ref="N18:N81" si="6">(((((((((((B18)+(C18))+(D18))+(E18))+(F18))+(G18))+(H18))+(I18))+(J18))+(K18))+(L18))+(M18)</f>
        <v>0</v>
      </c>
    </row>
    <row r="19" spans="1:15" x14ac:dyDescent="0.3">
      <c r="A19" s="1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>
        <f t="shared" si="6"/>
        <v>0</v>
      </c>
    </row>
    <row r="20" spans="1:15" x14ac:dyDescent="0.3">
      <c r="A20" s="1" t="s">
        <v>27</v>
      </c>
      <c r="B20" s="3">
        <f>5752.66</f>
        <v>5752.66</v>
      </c>
      <c r="C20" s="3">
        <f>98839.1</f>
        <v>98839.1</v>
      </c>
      <c r="D20" s="3">
        <f>42619.08</f>
        <v>42619.08</v>
      </c>
      <c r="E20" s="3">
        <f>44361.54</f>
        <v>44361.54</v>
      </c>
      <c r="F20" s="3">
        <f>49826.45</f>
        <v>49826.45</v>
      </c>
      <c r="G20" s="3">
        <f>5942.45</f>
        <v>5942.45</v>
      </c>
      <c r="H20" s="3">
        <f>7705.85</f>
        <v>7705.85</v>
      </c>
      <c r="I20" s="3">
        <f>1250+'BB Example 2 _ Cash Flows'!AA50</f>
        <v>32507.35</v>
      </c>
      <c r="J20" s="2">
        <f>+'BB Example 2 _ Cash Flows'!AA82</f>
        <v>25257.35</v>
      </c>
      <c r="K20" s="2">
        <f>+'BB Example 2 _ Cash Flows'!AA110</f>
        <v>25257.35</v>
      </c>
      <c r="L20" s="2">
        <f>+'BB Example 2 _ Cash Flows'!AA136</f>
        <v>375</v>
      </c>
      <c r="M20" s="2">
        <f>+'BB Example 2 _ Cash Flows'!AA164</f>
        <v>375</v>
      </c>
      <c r="N20" s="3">
        <f t="shared" si="6"/>
        <v>338819.18</v>
      </c>
      <c r="O20" s="7" t="s">
        <v>370</v>
      </c>
    </row>
    <row r="21" spans="1:15" x14ac:dyDescent="0.3">
      <c r="A21" s="1" t="s">
        <v>28</v>
      </c>
      <c r="B21" s="2"/>
      <c r="C21" s="2"/>
      <c r="D21" s="3">
        <f>9085</f>
        <v>9085</v>
      </c>
      <c r="E21" s="2"/>
      <c r="F21" s="2"/>
      <c r="G21" s="2"/>
      <c r="H21" s="126"/>
      <c r="I21" s="126"/>
      <c r="J21" s="126"/>
      <c r="K21" s="126"/>
      <c r="L21" s="126"/>
      <c r="M21" s="126"/>
      <c r="N21" s="3">
        <f t="shared" si="6"/>
        <v>9085</v>
      </c>
    </row>
    <row r="22" spans="1:15" x14ac:dyDescent="0.3">
      <c r="A22" s="1" t="s">
        <v>29</v>
      </c>
      <c r="B22" s="2"/>
      <c r="C22" s="2"/>
      <c r="D22" s="2"/>
      <c r="E22" s="2"/>
      <c r="F22" s="2"/>
      <c r="G22" s="3">
        <f>1500</f>
        <v>1500</v>
      </c>
      <c r="H22" s="126"/>
      <c r="I22" s="3">
        <f>1500</f>
        <v>1500</v>
      </c>
      <c r="J22" s="126"/>
      <c r="K22" s="126"/>
      <c r="L22" s="126"/>
      <c r="M22" s="126"/>
      <c r="N22" s="3">
        <f t="shared" si="6"/>
        <v>3000</v>
      </c>
    </row>
    <row r="23" spans="1:15" x14ac:dyDescent="0.3">
      <c r="A23" s="1" t="s">
        <v>30</v>
      </c>
      <c r="B23" s="2"/>
      <c r="C23" s="3">
        <f>5060</f>
        <v>5060</v>
      </c>
      <c r="D23" s="2"/>
      <c r="E23" s="2"/>
      <c r="F23" s="2"/>
      <c r="G23" s="2"/>
      <c r="H23" s="126"/>
      <c r="I23" s="126"/>
      <c r="J23" s="126"/>
      <c r="K23" s="126"/>
      <c r="L23" s="126"/>
      <c r="M23" s="126"/>
      <c r="N23" s="3">
        <f t="shared" si="6"/>
        <v>5060</v>
      </c>
    </row>
    <row r="24" spans="1:15" x14ac:dyDescent="0.3">
      <c r="A24" s="1" t="s">
        <v>31</v>
      </c>
      <c r="B24" s="3">
        <f>146.72</f>
        <v>146.72</v>
      </c>
      <c r="C24" s="2"/>
      <c r="D24" s="3">
        <f>9243</f>
        <v>9243</v>
      </c>
      <c r="E24" s="3">
        <f>7883.35</f>
        <v>7883.35</v>
      </c>
      <c r="F24" s="3">
        <f>216</f>
        <v>216</v>
      </c>
      <c r="G24" s="3">
        <f>809.77</f>
        <v>809.77</v>
      </c>
      <c r="H24" s="126"/>
      <c r="I24" s="126"/>
      <c r="J24" s="126"/>
      <c r="K24" s="126"/>
      <c r="L24" s="126"/>
      <c r="M24" s="126"/>
      <c r="N24" s="3">
        <f t="shared" si="6"/>
        <v>18298.84</v>
      </c>
    </row>
    <row r="25" spans="1:15" x14ac:dyDescent="0.3">
      <c r="A25" s="1" t="s">
        <v>32</v>
      </c>
      <c r="B25" s="2"/>
      <c r="C25" s="2"/>
      <c r="D25" s="2"/>
      <c r="E25" s="3">
        <f>2100</f>
        <v>2100</v>
      </c>
      <c r="F25" s="3">
        <f>1298</f>
        <v>1298</v>
      </c>
      <c r="G25" s="2"/>
      <c r="H25" s="126"/>
      <c r="I25" s="126"/>
      <c r="J25" s="126"/>
      <c r="K25" s="126"/>
      <c r="L25" s="126"/>
      <c r="M25" s="126"/>
      <c r="N25" s="3">
        <f t="shared" si="6"/>
        <v>3398</v>
      </c>
    </row>
    <row r="26" spans="1:15" x14ac:dyDescent="0.3">
      <c r="A26" s="1" t="s">
        <v>33</v>
      </c>
      <c r="B26" s="4">
        <f t="shared" ref="B26:M26" si="7">((((((B19)+(B20))+(B21))+(B22))+(B23))+(B24))+(B25)</f>
        <v>5899.38</v>
      </c>
      <c r="C26" s="4">
        <f t="shared" si="7"/>
        <v>103899.1</v>
      </c>
      <c r="D26" s="4">
        <f t="shared" si="7"/>
        <v>60947.08</v>
      </c>
      <c r="E26" s="4">
        <f t="shared" si="7"/>
        <v>54344.89</v>
      </c>
      <c r="F26" s="4">
        <f t="shared" si="7"/>
        <v>51340.45</v>
      </c>
      <c r="G26" s="4">
        <f t="shared" si="7"/>
        <v>8252.2199999999993</v>
      </c>
      <c r="H26" s="4">
        <f t="shared" si="7"/>
        <v>7705.85</v>
      </c>
      <c r="I26" s="4">
        <f t="shared" si="7"/>
        <v>34007.35</v>
      </c>
      <c r="J26" s="4">
        <f t="shared" si="7"/>
        <v>25257.35</v>
      </c>
      <c r="K26" s="4">
        <f t="shared" si="7"/>
        <v>25257.35</v>
      </c>
      <c r="L26" s="4">
        <f t="shared" si="7"/>
        <v>375</v>
      </c>
      <c r="M26" s="4">
        <f t="shared" si="7"/>
        <v>375</v>
      </c>
      <c r="N26" s="4">
        <f t="shared" si="6"/>
        <v>377661.0199999999</v>
      </c>
    </row>
    <row r="27" spans="1:15" x14ac:dyDescent="0.3">
      <c r="A27" s="1" t="s">
        <v>34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>
        <f t="shared" si="6"/>
        <v>0</v>
      </c>
    </row>
    <row r="28" spans="1:15" x14ac:dyDescent="0.3">
      <c r="A28" s="1" t="s">
        <v>35</v>
      </c>
      <c r="B28" s="3">
        <f>7500</f>
        <v>7500</v>
      </c>
      <c r="C28" s="3">
        <f>7500</f>
        <v>7500</v>
      </c>
      <c r="D28" s="3">
        <f>7500</f>
        <v>7500</v>
      </c>
      <c r="E28" s="3">
        <f>7500</f>
        <v>7500</v>
      </c>
      <c r="F28" s="3">
        <f>7500</f>
        <v>7500</v>
      </c>
      <c r="G28" s="3">
        <f>7500</f>
        <v>7500</v>
      </c>
      <c r="H28" s="3">
        <f>7500</f>
        <v>7500</v>
      </c>
      <c r="I28" s="2">
        <f>'Example 1 _ Cash Flows'!AB51</f>
        <v>7500</v>
      </c>
      <c r="J28" s="2">
        <f>'Example 1 _ Cash Flows'!AB83</f>
        <v>7500</v>
      </c>
      <c r="K28" s="2">
        <f>'Example 1 _ Cash Flows'!AB112</f>
        <v>7500</v>
      </c>
      <c r="L28" s="2">
        <f>'Example 1 _ Cash Flows'!AB138</f>
        <v>7500</v>
      </c>
      <c r="M28" s="2">
        <f>'Example 1 _ Cash Flows'!AB166</f>
        <v>7500</v>
      </c>
      <c r="N28" s="3">
        <f t="shared" si="6"/>
        <v>90000</v>
      </c>
      <c r="O28" s="7" t="s">
        <v>355</v>
      </c>
    </row>
    <row r="29" spans="1:15" x14ac:dyDescent="0.3">
      <c r="A29" s="1" t="s">
        <v>36</v>
      </c>
      <c r="B29" s="3">
        <f>8333</f>
        <v>8333</v>
      </c>
      <c r="C29" s="3">
        <f>8333</f>
        <v>8333</v>
      </c>
      <c r="D29" s="3">
        <f>8333</f>
        <v>8333</v>
      </c>
      <c r="E29" s="3">
        <f>8333</f>
        <v>8333</v>
      </c>
      <c r="F29" s="3">
        <f>8333</f>
        <v>8333</v>
      </c>
      <c r="G29" s="3">
        <f>8479.22</f>
        <v>8479.2199999999993</v>
      </c>
      <c r="H29" s="3">
        <f>8333</f>
        <v>8333</v>
      </c>
      <c r="I29" s="2">
        <f>'Example 1 _ Cash Flows'!AE51</f>
        <v>8333</v>
      </c>
      <c r="J29" s="2">
        <f>'Example 1 _ Cash Flows'!AE83</f>
        <v>8333</v>
      </c>
      <c r="K29" s="2">
        <f>'Example 1 _ Cash Flows'!AE112</f>
        <v>8333</v>
      </c>
      <c r="L29" s="2">
        <f>'Example 1 _ Cash Flows'!AE138</f>
        <v>8333</v>
      </c>
      <c r="M29" s="2">
        <f>'Example 1 _ Cash Flows'!AE166</f>
        <v>8333</v>
      </c>
      <c r="N29" s="3">
        <f t="shared" si="6"/>
        <v>100142.22</v>
      </c>
      <c r="O29" s="7" t="s">
        <v>356</v>
      </c>
    </row>
    <row r="30" spans="1:15" x14ac:dyDescent="0.3">
      <c r="A30" s="1" t="s">
        <v>37</v>
      </c>
      <c r="B30" s="3">
        <f>451.66</f>
        <v>451.66</v>
      </c>
      <c r="C30" s="3">
        <f>558.8</f>
        <v>558.79999999999995</v>
      </c>
      <c r="D30" s="3">
        <f>508.52</f>
        <v>508.52</v>
      </c>
      <c r="E30" s="3">
        <f>572.5</f>
        <v>572.5</v>
      </c>
      <c r="F30" s="3">
        <f>572.5</f>
        <v>572.5</v>
      </c>
      <c r="G30" s="3">
        <f>503.66</f>
        <v>503.66</v>
      </c>
      <c r="H30" s="2">
        <v>575</v>
      </c>
      <c r="I30" s="2">
        <f>SUM('Example 1 _ Cash Flows'!AN51)</f>
        <v>625</v>
      </c>
      <c r="J30" s="2">
        <f>'Example 1 _ Cash Flows'!AN83</f>
        <v>625</v>
      </c>
      <c r="K30" s="2">
        <f>'Example 1 _ Cash Flows'!AN112</f>
        <v>625</v>
      </c>
      <c r="L30" s="2">
        <f>'Example 1 _ Cash Flows'!AN138</f>
        <v>625</v>
      </c>
      <c r="M30" s="2">
        <f>'Example 1 _ Cash Flows'!AN166</f>
        <v>625</v>
      </c>
      <c r="N30" s="3">
        <f t="shared" si="6"/>
        <v>6867.6399999999994</v>
      </c>
    </row>
    <row r="31" spans="1:15" x14ac:dyDescent="0.3">
      <c r="A31" s="1" t="s">
        <v>38</v>
      </c>
      <c r="B31" s="2"/>
      <c r="C31" s="3">
        <f>25.5</f>
        <v>25.5</v>
      </c>
      <c r="D31" s="3">
        <f>500</f>
        <v>500</v>
      </c>
      <c r="E31" s="2"/>
      <c r="F31" s="3">
        <f>746</f>
        <v>746</v>
      </c>
      <c r="G31" s="126"/>
      <c r="H31" s="126"/>
      <c r="I31" s="126"/>
      <c r="J31" s="126"/>
      <c r="K31" s="126"/>
      <c r="L31" s="126"/>
      <c r="M31" s="126"/>
      <c r="N31" s="3">
        <f t="shared" si="6"/>
        <v>1271.5</v>
      </c>
    </row>
    <row r="32" spans="1:15" x14ac:dyDescent="0.3">
      <c r="A32" s="1" t="s">
        <v>39</v>
      </c>
      <c r="B32" s="3">
        <f>995</f>
        <v>995</v>
      </c>
      <c r="C32" s="2"/>
      <c r="D32" s="2"/>
      <c r="E32" s="2"/>
      <c r="F32" s="2"/>
      <c r="G32" s="126"/>
      <c r="H32" s="126"/>
      <c r="I32" s="126"/>
      <c r="J32" s="126"/>
      <c r="K32" s="126"/>
      <c r="L32" s="126"/>
      <c r="M32" s="126"/>
      <c r="N32" s="3">
        <f t="shared" si="6"/>
        <v>995</v>
      </c>
    </row>
    <row r="33" spans="1:15" x14ac:dyDescent="0.3">
      <c r="A33" s="1" t="s">
        <v>40</v>
      </c>
      <c r="B33" s="3">
        <f>544.28</f>
        <v>544.28</v>
      </c>
      <c r="C33" s="2"/>
      <c r="D33" s="3">
        <f>1851.65</f>
        <v>1851.65</v>
      </c>
      <c r="E33" s="3">
        <f>1116.66</f>
        <v>1116.6600000000001</v>
      </c>
      <c r="F33" s="3">
        <f>42.84</f>
        <v>42.84</v>
      </c>
      <c r="G33" s="126"/>
      <c r="H33" s="126"/>
      <c r="I33" s="126"/>
      <c r="J33" s="126"/>
      <c r="K33" s="126"/>
      <c r="L33" s="126"/>
      <c r="M33" s="126"/>
      <c r="N33" s="3">
        <f t="shared" si="6"/>
        <v>3555.4300000000003</v>
      </c>
    </row>
    <row r="34" spans="1:15" x14ac:dyDescent="0.3">
      <c r="A34" s="1" t="s">
        <v>41</v>
      </c>
      <c r="B34" s="3">
        <f>213.97</f>
        <v>213.97</v>
      </c>
      <c r="C34" s="3">
        <f>0</f>
        <v>0</v>
      </c>
      <c r="D34" s="3">
        <f>399.06</f>
        <v>399.06</v>
      </c>
      <c r="E34" s="3">
        <f>294.16</f>
        <v>294.16000000000003</v>
      </c>
      <c r="F34" s="3">
        <f>110</f>
        <v>110</v>
      </c>
      <c r="G34" s="126"/>
      <c r="H34" s="126"/>
      <c r="I34" s="126"/>
      <c r="J34" s="126"/>
      <c r="K34" s="126"/>
      <c r="L34" s="126"/>
      <c r="M34" s="126"/>
      <c r="N34" s="3">
        <f t="shared" si="6"/>
        <v>1017.19</v>
      </c>
    </row>
    <row r="35" spans="1:15" x14ac:dyDescent="0.3">
      <c r="A35" s="1" t="s">
        <v>42</v>
      </c>
      <c r="B35" s="4">
        <f t="shared" ref="B35:M35" si="8">(((((((B27)+(B28))+(B29))+(B30))+(B31))+(B32))+(B33))+(B34)</f>
        <v>18037.91</v>
      </c>
      <c r="C35" s="4">
        <f t="shared" si="8"/>
        <v>16417.3</v>
      </c>
      <c r="D35" s="4">
        <f t="shared" si="8"/>
        <v>19092.230000000003</v>
      </c>
      <c r="E35" s="4">
        <f t="shared" si="8"/>
        <v>17816.32</v>
      </c>
      <c r="F35" s="4">
        <f t="shared" si="8"/>
        <v>17304.34</v>
      </c>
      <c r="G35" s="4">
        <f t="shared" si="8"/>
        <v>16482.88</v>
      </c>
      <c r="H35" s="4">
        <f t="shared" si="8"/>
        <v>16408</v>
      </c>
      <c r="I35" s="4">
        <f t="shared" si="8"/>
        <v>16458</v>
      </c>
      <c r="J35" s="4">
        <f t="shared" si="8"/>
        <v>16458</v>
      </c>
      <c r="K35" s="4">
        <f t="shared" si="8"/>
        <v>16458</v>
      </c>
      <c r="L35" s="4">
        <f t="shared" si="8"/>
        <v>16458</v>
      </c>
      <c r="M35" s="4">
        <f t="shared" si="8"/>
        <v>16458</v>
      </c>
      <c r="N35" s="4">
        <f t="shared" si="6"/>
        <v>203848.98</v>
      </c>
    </row>
    <row r="36" spans="1:15" x14ac:dyDescent="0.3">
      <c r="A36" s="1" t="s">
        <v>43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>
        <f t="shared" si="6"/>
        <v>0</v>
      </c>
    </row>
    <row r="37" spans="1:15" x14ac:dyDescent="0.3">
      <c r="A37" s="1" t="s">
        <v>44</v>
      </c>
      <c r="B37" s="3">
        <f>2500</f>
        <v>2500</v>
      </c>
      <c r="C37" s="3">
        <f>2500</f>
        <v>2500</v>
      </c>
      <c r="D37" s="3">
        <f>2500</f>
        <v>2500</v>
      </c>
      <c r="E37" s="3">
        <f>2500</f>
        <v>2500</v>
      </c>
      <c r="F37" s="3">
        <f>2500</f>
        <v>2500</v>
      </c>
      <c r="G37" s="3">
        <f>2500</f>
        <v>2500</v>
      </c>
      <c r="H37" s="2">
        <f>SUM('Example 1 _ Cash Flows'!Z17)</f>
        <v>2500</v>
      </c>
      <c r="I37" s="2">
        <f>'Example 1 _ Cash Flows'!Z51</f>
        <v>2500</v>
      </c>
      <c r="J37" s="2">
        <f>'Example 1 _ Cash Flows'!Z83</f>
        <v>2500</v>
      </c>
      <c r="K37" s="2">
        <f>'Example 1 _ Cash Flows'!Z112</f>
        <v>2500</v>
      </c>
      <c r="L37" s="2">
        <f>'Example 1 _ Cash Flows'!Z138</f>
        <v>2500</v>
      </c>
      <c r="M37" s="2">
        <f>'Example 1 _ Cash Flows'!Z166</f>
        <v>2500</v>
      </c>
      <c r="N37" s="3">
        <f t="shared" si="6"/>
        <v>30000</v>
      </c>
    </row>
    <row r="38" spans="1:15" x14ac:dyDescent="0.3">
      <c r="A38" s="1" t="s">
        <v>45</v>
      </c>
      <c r="B38" s="3">
        <f>1677.84</f>
        <v>1677.84</v>
      </c>
      <c r="C38" s="3">
        <f>1668.22</f>
        <v>1668.22</v>
      </c>
      <c r="D38" s="3">
        <f>1663.02</f>
        <v>1663.02</v>
      </c>
      <c r="E38" s="3">
        <f>1680.3</f>
        <v>1680.3</v>
      </c>
      <c r="F38" s="3">
        <f>1656</f>
        <v>1656</v>
      </c>
      <c r="G38" s="3">
        <f>1709</f>
        <v>1709</v>
      </c>
      <c r="H38" s="3">
        <f>1584</f>
        <v>1584</v>
      </c>
      <c r="I38" s="2">
        <f>'Example 1 _ Cash Flows'!AD51</f>
        <v>1674</v>
      </c>
      <c r="J38" s="2">
        <f>'Example 1 _ Cash Flows'!AD83</f>
        <v>1674</v>
      </c>
      <c r="K38" s="2">
        <f>'Example 1 _ Cash Flows'!AD112</f>
        <v>1674</v>
      </c>
      <c r="L38" s="2">
        <f>'Example 1 _ Cash Flows'!AD138</f>
        <v>1674</v>
      </c>
      <c r="M38" s="2">
        <f>'Example 1 _ Cash Flows'!AD166</f>
        <v>1674</v>
      </c>
      <c r="N38" s="3">
        <f t="shared" si="6"/>
        <v>20008.38</v>
      </c>
    </row>
    <row r="39" spans="1:15" x14ac:dyDescent="0.3">
      <c r="A39" s="1" t="s">
        <v>46</v>
      </c>
      <c r="B39" s="3">
        <f t="shared" ref="B39:G39" si="9">88.95</f>
        <v>88.95</v>
      </c>
      <c r="C39" s="3">
        <f t="shared" si="9"/>
        <v>88.95</v>
      </c>
      <c r="D39" s="3">
        <f t="shared" si="9"/>
        <v>88.95</v>
      </c>
      <c r="E39" s="3">
        <f t="shared" si="9"/>
        <v>88.95</v>
      </c>
      <c r="F39" s="3">
        <f t="shared" si="9"/>
        <v>88.95</v>
      </c>
      <c r="G39" s="3">
        <f t="shared" si="9"/>
        <v>88.95</v>
      </c>
      <c r="H39" s="2">
        <f>'Example 1 _ Cash Flows'!AQ17</f>
        <v>0</v>
      </c>
      <c r="I39" s="2">
        <f>'Example 1 _ Cash Flows'!AQ51</f>
        <v>111.1875</v>
      </c>
      <c r="J39" s="2">
        <f>'Example 1 _ Cash Flows'!AQ83</f>
        <v>111.1875</v>
      </c>
      <c r="K39" s="2">
        <f>'Example 1 _ Cash Flows'!AQ112</f>
        <v>111.1875</v>
      </c>
      <c r="L39" s="2">
        <f>'Example 1 _ Cash Flows'!AQ138</f>
        <v>111.1875</v>
      </c>
      <c r="M39" s="2">
        <f>'Example 1 _ Cash Flows'!AQ166</f>
        <v>111.1875</v>
      </c>
      <c r="N39" s="3">
        <f t="shared" si="6"/>
        <v>1089.6375</v>
      </c>
    </row>
    <row r="40" spans="1:15" x14ac:dyDescent="0.3">
      <c r="A40" s="1" t="s">
        <v>47</v>
      </c>
      <c r="B40" s="4">
        <f t="shared" ref="B40:M40" si="10">(((B36)+(B37))+(B38))+(B39)</f>
        <v>4266.79</v>
      </c>
      <c r="C40" s="4">
        <f t="shared" si="10"/>
        <v>4257.17</v>
      </c>
      <c r="D40" s="4">
        <f t="shared" si="10"/>
        <v>4251.97</v>
      </c>
      <c r="E40" s="4">
        <f t="shared" si="10"/>
        <v>4269.25</v>
      </c>
      <c r="F40" s="4">
        <f t="shared" si="10"/>
        <v>4244.95</v>
      </c>
      <c r="G40" s="4">
        <f t="shared" si="10"/>
        <v>4297.95</v>
      </c>
      <c r="H40" s="4">
        <f t="shared" si="10"/>
        <v>4084</v>
      </c>
      <c r="I40" s="4">
        <f t="shared" si="10"/>
        <v>4285.1875</v>
      </c>
      <c r="J40" s="4">
        <f t="shared" si="10"/>
        <v>4285.1875</v>
      </c>
      <c r="K40" s="4">
        <f t="shared" si="10"/>
        <v>4285.1875</v>
      </c>
      <c r="L40" s="4">
        <f t="shared" si="10"/>
        <v>4285.1875</v>
      </c>
      <c r="M40" s="4">
        <f t="shared" si="10"/>
        <v>4285.1875</v>
      </c>
      <c r="N40" s="4">
        <f t="shared" si="6"/>
        <v>51098.017500000002</v>
      </c>
    </row>
    <row r="41" spans="1:15" x14ac:dyDescent="0.3">
      <c r="A41" s="1" t="s">
        <v>48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>
        <f t="shared" si="6"/>
        <v>0</v>
      </c>
    </row>
    <row r="42" spans="1:15" x14ac:dyDescent="0.3">
      <c r="A42" s="1" t="s">
        <v>49</v>
      </c>
      <c r="B42" s="3">
        <f>6549.33</f>
        <v>6549.33</v>
      </c>
      <c r="C42" s="3">
        <f>201.7</f>
        <v>201.7</v>
      </c>
      <c r="D42" s="3">
        <f>664.45</f>
        <v>664.45</v>
      </c>
      <c r="E42" s="3">
        <f>51</f>
        <v>51</v>
      </c>
      <c r="F42" s="2"/>
      <c r="G42" s="2"/>
      <c r="H42" s="126"/>
      <c r="I42" s="126"/>
      <c r="J42" s="126"/>
      <c r="K42" s="126"/>
      <c r="L42" s="126"/>
      <c r="M42" s="126"/>
      <c r="N42" s="3">
        <f t="shared" si="6"/>
        <v>7466.48</v>
      </c>
    </row>
    <row r="43" spans="1:15" x14ac:dyDescent="0.3">
      <c r="A43" s="1" t="s">
        <v>50</v>
      </c>
      <c r="B43" s="2"/>
      <c r="C43" s="3">
        <f>265</f>
        <v>265</v>
      </c>
      <c r="D43" s="3">
        <f>275.75</f>
        <v>275.75</v>
      </c>
      <c r="E43" s="2"/>
      <c r="F43" s="2"/>
      <c r="G43" s="2"/>
      <c r="H43" s="127">
        <f>3300</f>
        <v>3300</v>
      </c>
      <c r="I43" s="127">
        <f>3570</f>
        <v>3570</v>
      </c>
      <c r="J43" s="127">
        <f>3570</f>
        <v>3570</v>
      </c>
      <c r="K43" s="126"/>
      <c r="L43" s="126"/>
      <c r="M43" s="126"/>
      <c r="N43" s="3">
        <f t="shared" si="6"/>
        <v>10980.75</v>
      </c>
    </row>
    <row r="44" spans="1:15" x14ac:dyDescent="0.3">
      <c r="A44" s="1" t="s">
        <v>51</v>
      </c>
      <c r="B44" s="3">
        <f>1064.15</f>
        <v>1064.1500000000001</v>
      </c>
      <c r="C44" s="2"/>
      <c r="D44" s="2"/>
      <c r="E44" s="2"/>
      <c r="F44" s="2"/>
      <c r="G44" s="2"/>
      <c r="H44" s="126"/>
      <c r="I44" s="126"/>
      <c r="J44" s="404">
        <f>SUM('BB Example 2 _ Cash Flows'!AW82)</f>
        <v>4500</v>
      </c>
      <c r="K44" s="126"/>
      <c r="L44" s="126"/>
      <c r="M44" s="126"/>
      <c r="N44" s="3">
        <f t="shared" si="6"/>
        <v>5564.15</v>
      </c>
      <c r="O44" s="228" t="s">
        <v>394</v>
      </c>
    </row>
    <row r="45" spans="1:15" x14ac:dyDescent="0.3">
      <c r="A45" s="1" t="s">
        <v>52</v>
      </c>
      <c r="B45" s="3">
        <f>381.67</f>
        <v>381.67</v>
      </c>
      <c r="C45" s="3">
        <f>32.76</f>
        <v>32.76</v>
      </c>
      <c r="D45" s="3">
        <f>962.9</f>
        <v>962.9</v>
      </c>
      <c r="E45" s="2"/>
      <c r="F45" s="3">
        <f>149.38</f>
        <v>149.38</v>
      </c>
      <c r="G45" s="3">
        <f>2168.9</f>
        <v>2168.9</v>
      </c>
      <c r="H45" s="126"/>
      <c r="I45" s="126"/>
      <c r="J45" s="126"/>
      <c r="K45" s="126"/>
      <c r="L45" s="126"/>
      <c r="M45" s="126"/>
      <c r="N45" s="3">
        <f t="shared" si="6"/>
        <v>3695.61</v>
      </c>
    </row>
    <row r="46" spans="1:15" x14ac:dyDescent="0.3">
      <c r="A46" s="1" t="s">
        <v>53</v>
      </c>
      <c r="B46" s="2"/>
      <c r="C46" s="2"/>
      <c r="D46" s="2"/>
      <c r="E46" s="3">
        <f>805</f>
        <v>805</v>
      </c>
      <c r="F46" s="2"/>
      <c r="G46" s="2"/>
      <c r="H46" s="126"/>
      <c r="I46" s="126"/>
      <c r="J46" s="126"/>
      <c r="K46" s="126"/>
      <c r="L46" s="126"/>
      <c r="M46" s="126"/>
      <c r="N46" s="3">
        <f t="shared" si="6"/>
        <v>805</v>
      </c>
    </row>
    <row r="47" spans="1:15" x14ac:dyDescent="0.3">
      <c r="A47" s="1" t="s">
        <v>54</v>
      </c>
      <c r="B47" s="4">
        <f t="shared" ref="B47:M47" si="11">(((((B41)+(B42))+(B43))+(B44))+(B45))+(B46)</f>
        <v>7995.15</v>
      </c>
      <c r="C47" s="4">
        <f t="shared" si="11"/>
        <v>499.46</v>
      </c>
      <c r="D47" s="4">
        <f t="shared" si="11"/>
        <v>1903.1</v>
      </c>
      <c r="E47" s="4">
        <f t="shared" si="11"/>
        <v>856</v>
      </c>
      <c r="F47" s="4">
        <f t="shared" si="11"/>
        <v>149.38</v>
      </c>
      <c r="G47" s="4">
        <f t="shared" si="11"/>
        <v>2168.9</v>
      </c>
      <c r="H47" s="4">
        <f t="shared" si="11"/>
        <v>3300</v>
      </c>
      <c r="I47" s="4">
        <f t="shared" si="11"/>
        <v>3570</v>
      </c>
      <c r="J47" s="4">
        <f t="shared" si="11"/>
        <v>8070</v>
      </c>
      <c r="K47" s="4">
        <f t="shared" si="11"/>
        <v>0</v>
      </c>
      <c r="L47" s="4">
        <f t="shared" si="11"/>
        <v>0</v>
      </c>
      <c r="M47" s="4">
        <f t="shared" si="11"/>
        <v>0</v>
      </c>
      <c r="N47" s="4">
        <f t="shared" si="6"/>
        <v>28511.989999999998</v>
      </c>
    </row>
    <row r="48" spans="1:15" x14ac:dyDescent="0.3">
      <c r="A48" s="1" t="s">
        <v>55</v>
      </c>
      <c r="B48" s="4">
        <f t="shared" ref="B48:M48" si="12">((((B18)+(B26))+(B35))+(B40))+(B47)</f>
        <v>36199.230000000003</v>
      </c>
      <c r="C48" s="4">
        <f t="shared" si="12"/>
        <v>125073.03000000001</v>
      </c>
      <c r="D48" s="4">
        <f t="shared" si="12"/>
        <v>86194.38</v>
      </c>
      <c r="E48" s="4">
        <f t="shared" si="12"/>
        <v>77286.459999999992</v>
      </c>
      <c r="F48" s="4">
        <f t="shared" si="12"/>
        <v>73039.12</v>
      </c>
      <c r="G48" s="4">
        <f t="shared" si="12"/>
        <v>31201.95</v>
      </c>
      <c r="H48" s="4">
        <f t="shared" si="12"/>
        <v>31497.85</v>
      </c>
      <c r="I48" s="4">
        <f t="shared" si="12"/>
        <v>58320.537499999999</v>
      </c>
      <c r="J48" s="4">
        <f t="shared" si="12"/>
        <v>54070.537499999999</v>
      </c>
      <c r="K48" s="4">
        <f t="shared" si="12"/>
        <v>46000.537499999999</v>
      </c>
      <c r="L48" s="4">
        <f t="shared" si="12"/>
        <v>21118.1875</v>
      </c>
      <c r="M48" s="4">
        <f t="shared" si="12"/>
        <v>21118.1875</v>
      </c>
      <c r="N48" s="4">
        <f t="shared" si="6"/>
        <v>661120.00749999995</v>
      </c>
    </row>
    <row r="49" spans="1:15" x14ac:dyDescent="0.3">
      <c r="A49" s="1" t="s">
        <v>56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>
        <f t="shared" si="6"/>
        <v>0</v>
      </c>
    </row>
    <row r="50" spans="1:15" x14ac:dyDescent="0.3">
      <c r="A50" s="1" t="s">
        <v>57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>
        <f t="shared" si="6"/>
        <v>0</v>
      </c>
    </row>
    <row r="51" spans="1:15" x14ac:dyDescent="0.3">
      <c r="A51" s="1" t="s">
        <v>58</v>
      </c>
      <c r="B51" s="3">
        <f>1978.92</f>
        <v>1978.92</v>
      </c>
      <c r="C51" s="2"/>
      <c r="D51" s="3">
        <f>1185</f>
        <v>1185</v>
      </c>
      <c r="E51" s="3">
        <f>5154.97</f>
        <v>5154.97</v>
      </c>
      <c r="F51" s="2"/>
      <c r="G51" s="3">
        <f>1125</f>
        <v>1125</v>
      </c>
      <c r="H51" s="2">
        <f>SUM('Example 1 _ Cash Flows'!AU17)</f>
        <v>1967.22</v>
      </c>
      <c r="I51" s="2">
        <f>'Example 1 _ Cash Flows'!AU51</f>
        <v>3439.25</v>
      </c>
      <c r="J51" s="2">
        <f>'Example 1 _ Cash Flows'!AU83</f>
        <v>2707.6</v>
      </c>
      <c r="K51" s="2">
        <f>'Example 1 _ Cash Flows'!AU112</f>
        <v>0</v>
      </c>
      <c r="L51" s="2">
        <f>'Example 1 _ Cash Flows'!AU138</f>
        <v>0</v>
      </c>
      <c r="M51" s="2">
        <f>'Example 1 _ Cash Flows'!AU166</f>
        <v>0</v>
      </c>
      <c r="N51" s="3">
        <f t="shared" si="6"/>
        <v>17557.96</v>
      </c>
    </row>
    <row r="52" spans="1:15" x14ac:dyDescent="0.3">
      <c r="A52" s="1" t="s">
        <v>59</v>
      </c>
      <c r="B52" s="3">
        <f>644.77</f>
        <v>644.77</v>
      </c>
      <c r="C52" s="3">
        <f>340.63</f>
        <v>340.63</v>
      </c>
      <c r="D52" s="3">
        <f>540.08</f>
        <v>540.08000000000004</v>
      </c>
      <c r="E52" s="3">
        <f>791.34</f>
        <v>791.34</v>
      </c>
      <c r="F52" s="3">
        <f>280</f>
        <v>280</v>
      </c>
      <c r="G52" s="3">
        <f>719.64</f>
        <v>719.64</v>
      </c>
      <c r="H52" s="126"/>
      <c r="I52" s="126"/>
      <c r="J52" s="126"/>
      <c r="K52" s="126"/>
      <c r="L52" s="126"/>
      <c r="M52" s="126"/>
      <c r="N52" s="3">
        <f t="shared" si="6"/>
        <v>3316.46</v>
      </c>
    </row>
    <row r="53" spans="1:15" x14ac:dyDescent="0.3">
      <c r="A53" s="1" t="s">
        <v>60</v>
      </c>
      <c r="B53" s="3">
        <f>2640</f>
        <v>2640</v>
      </c>
      <c r="C53" s="2"/>
      <c r="D53" s="2"/>
      <c r="E53" s="3">
        <f>150</f>
        <v>150</v>
      </c>
      <c r="F53" s="2"/>
      <c r="G53" s="3">
        <f>600</f>
        <v>600</v>
      </c>
      <c r="H53" s="2">
        <f>SUM('Example 1 _ Cash Flows'!AO17)</f>
        <v>330.78</v>
      </c>
      <c r="I53" s="2">
        <f>SUM('Example 1 _ Cash Flows'!AO51)</f>
        <v>0</v>
      </c>
      <c r="J53" s="2">
        <f>'Example 1 _ Cash Flows'!AO83</f>
        <v>0</v>
      </c>
      <c r="K53" s="2">
        <f>'Example 1 _ Cash Flows'!AO112</f>
        <v>0</v>
      </c>
      <c r="L53" s="2">
        <f>'Example 1 _ Cash Flows'!AO138</f>
        <v>0</v>
      </c>
      <c r="M53" s="2">
        <f>'Example 1 _ Cash Flows'!AO166</f>
        <v>0</v>
      </c>
      <c r="N53" s="3">
        <f t="shared" si="6"/>
        <v>3720.7799999999997</v>
      </c>
    </row>
    <row r="54" spans="1:15" x14ac:dyDescent="0.3">
      <c r="A54" s="1" t="s">
        <v>61</v>
      </c>
      <c r="B54" s="2"/>
      <c r="C54" s="2"/>
      <c r="D54" s="2"/>
      <c r="E54" s="2"/>
      <c r="F54" s="2"/>
      <c r="G54" s="3">
        <f>90.67</f>
        <v>90.67</v>
      </c>
      <c r="H54" s="3">
        <f>1833.35</f>
        <v>1833.35</v>
      </c>
      <c r="I54" s="3">
        <f>1833.35</f>
        <v>1833.35</v>
      </c>
      <c r="J54" s="3">
        <f>1833.35</f>
        <v>1833.35</v>
      </c>
      <c r="K54" s="3">
        <f>1833.35</f>
        <v>1833.35</v>
      </c>
      <c r="L54" s="3">
        <f>1833.35</f>
        <v>1833.35</v>
      </c>
      <c r="M54" s="3">
        <f>1833.25</f>
        <v>1833.25</v>
      </c>
      <c r="N54" s="3">
        <f t="shared" si="6"/>
        <v>11090.67</v>
      </c>
    </row>
    <row r="55" spans="1:15" x14ac:dyDescent="0.3">
      <c r="A55" s="1" t="s">
        <v>62</v>
      </c>
      <c r="B55" s="4">
        <f t="shared" ref="B55:M55" si="13">((((B50)+(B51))+(B52))+(B53))+(B54)</f>
        <v>5263.6900000000005</v>
      </c>
      <c r="C55" s="4">
        <f t="shared" si="13"/>
        <v>340.63</v>
      </c>
      <c r="D55" s="4">
        <f t="shared" si="13"/>
        <v>1725.08</v>
      </c>
      <c r="E55" s="4">
        <f t="shared" si="13"/>
        <v>6096.31</v>
      </c>
      <c r="F55" s="4">
        <f t="shared" si="13"/>
        <v>280</v>
      </c>
      <c r="G55" s="4">
        <f t="shared" si="13"/>
        <v>2535.31</v>
      </c>
      <c r="H55" s="4">
        <f t="shared" si="13"/>
        <v>4131.3500000000004</v>
      </c>
      <c r="I55" s="4">
        <f t="shared" si="13"/>
        <v>5272.6</v>
      </c>
      <c r="J55" s="4">
        <f t="shared" si="13"/>
        <v>4540.95</v>
      </c>
      <c r="K55" s="4">
        <f t="shared" si="13"/>
        <v>1833.35</v>
      </c>
      <c r="L55" s="4">
        <f t="shared" si="13"/>
        <v>1833.35</v>
      </c>
      <c r="M55" s="4">
        <f t="shared" si="13"/>
        <v>1833.25</v>
      </c>
      <c r="N55" s="4">
        <f t="shared" si="6"/>
        <v>35685.870000000003</v>
      </c>
    </row>
    <row r="56" spans="1:15" x14ac:dyDescent="0.3">
      <c r="A56" s="1" t="s">
        <v>63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>
        <f t="shared" si="6"/>
        <v>0</v>
      </c>
    </row>
    <row r="57" spans="1:15" x14ac:dyDescent="0.3">
      <c r="A57" s="1" t="s">
        <v>64</v>
      </c>
      <c r="B57" s="2"/>
      <c r="C57" s="3">
        <f>4227.52</f>
        <v>4227.5200000000004</v>
      </c>
      <c r="D57" s="3">
        <f>10350.25</f>
        <v>10350.25</v>
      </c>
      <c r="E57" s="3">
        <f>1753.2</f>
        <v>1753.2</v>
      </c>
      <c r="F57" s="3">
        <f>705.41</f>
        <v>705.41</v>
      </c>
      <c r="G57" s="3">
        <f>6814.65</f>
        <v>6814.65</v>
      </c>
      <c r="H57" s="127">
        <f>2900</f>
        <v>2900</v>
      </c>
      <c r="I57" s="126"/>
      <c r="J57" s="126"/>
      <c r="K57" s="126"/>
      <c r="L57" s="126"/>
      <c r="M57" s="126"/>
      <c r="N57" s="3">
        <f t="shared" si="6"/>
        <v>26751.03</v>
      </c>
    </row>
    <row r="58" spans="1:15" x14ac:dyDescent="0.3">
      <c r="A58" s="1" t="s">
        <v>65</v>
      </c>
      <c r="B58" s="3">
        <f>2080</f>
        <v>2080</v>
      </c>
      <c r="C58" s="3">
        <f>2080</f>
        <v>2080</v>
      </c>
      <c r="D58" s="3">
        <f>1580</f>
        <v>1580</v>
      </c>
      <c r="E58" s="3">
        <f>1080</f>
        <v>1080</v>
      </c>
      <c r="F58" s="3">
        <f>4660</f>
        <v>4660</v>
      </c>
      <c r="G58" s="3">
        <f>1080</f>
        <v>1080</v>
      </c>
      <c r="H58" s="224">
        <f>1080+'Example 1 _ Cash Flows'!X17</f>
        <v>1080</v>
      </c>
      <c r="I58" s="225">
        <f>SUM('Example 1 _ Cash Flows'!X51)</f>
        <v>1080</v>
      </c>
      <c r="J58" s="227">
        <f>'BB Example 4 _ Cash Flows'!X84</f>
        <v>72480</v>
      </c>
      <c r="K58" s="225">
        <f>'Example 1 _ Cash Flows'!X112</f>
        <v>1080</v>
      </c>
      <c r="L58" s="225">
        <f>'Example 1 _ Cash Flows'!X138</f>
        <v>1080</v>
      </c>
      <c r="M58" s="225">
        <f>'Example 1 _ Cash Flows'!X166</f>
        <v>1080</v>
      </c>
      <c r="N58" s="224">
        <f t="shared" si="6"/>
        <v>90440</v>
      </c>
      <c r="O58" s="228" t="s">
        <v>365</v>
      </c>
    </row>
    <row r="59" spans="1:15" x14ac:dyDescent="0.3">
      <c r="A59" s="1" t="s">
        <v>66</v>
      </c>
      <c r="B59" s="3">
        <f>2700</f>
        <v>2700</v>
      </c>
      <c r="C59" s="3">
        <f>3402.7</f>
        <v>3402.7</v>
      </c>
      <c r="D59" s="3">
        <f>288.35</f>
        <v>288.35000000000002</v>
      </c>
      <c r="E59" s="3">
        <f>200</f>
        <v>200</v>
      </c>
      <c r="F59" s="3">
        <f>200</f>
        <v>200</v>
      </c>
      <c r="G59" s="3">
        <f>200</f>
        <v>200</v>
      </c>
      <c r="H59" s="3">
        <f>200</f>
        <v>200</v>
      </c>
      <c r="I59" s="2">
        <f>SUM('Example 1 _ Cash Flows'!AM51)</f>
        <v>200</v>
      </c>
      <c r="J59" s="2">
        <f>SUM('Example 1 _ Cash Flows'!AM83)</f>
        <v>200</v>
      </c>
      <c r="K59" s="2">
        <f>SUM('Example 1 _ Cash Flows'!AM112)</f>
        <v>200</v>
      </c>
      <c r="L59" s="2">
        <f>SUM('Example 1 _ Cash Flows'!AM138)</f>
        <v>200</v>
      </c>
      <c r="M59" s="2">
        <f>SUM('Example 1 _ Cash Flows'!AM166)</f>
        <v>200</v>
      </c>
      <c r="N59" s="3">
        <f t="shared" si="6"/>
        <v>8191.05</v>
      </c>
    </row>
    <row r="60" spans="1:15" x14ac:dyDescent="0.3">
      <c r="A60" s="1" t="s">
        <v>67</v>
      </c>
      <c r="B60" s="4">
        <f t="shared" ref="B60:M60" si="14">(((B56)+(B57))+(B58))+(B59)</f>
        <v>4780</v>
      </c>
      <c r="C60" s="4">
        <f t="shared" si="14"/>
        <v>9710.2200000000012</v>
      </c>
      <c r="D60" s="4">
        <f t="shared" si="14"/>
        <v>12218.6</v>
      </c>
      <c r="E60" s="4">
        <f t="shared" si="14"/>
        <v>3033.2</v>
      </c>
      <c r="F60" s="4">
        <f t="shared" si="14"/>
        <v>5565.41</v>
      </c>
      <c r="G60" s="4">
        <f t="shared" si="14"/>
        <v>8094.65</v>
      </c>
      <c r="H60" s="4">
        <f t="shared" si="14"/>
        <v>4180</v>
      </c>
      <c r="I60" s="4">
        <f t="shared" si="14"/>
        <v>1280</v>
      </c>
      <c r="J60" s="4">
        <f t="shared" si="14"/>
        <v>72680</v>
      </c>
      <c r="K60" s="4">
        <f t="shared" si="14"/>
        <v>1280</v>
      </c>
      <c r="L60" s="4">
        <f t="shared" si="14"/>
        <v>1280</v>
      </c>
      <c r="M60" s="4">
        <f t="shared" si="14"/>
        <v>1280</v>
      </c>
      <c r="N60" s="4">
        <f t="shared" si="6"/>
        <v>125382.08</v>
      </c>
    </row>
    <row r="61" spans="1:15" x14ac:dyDescent="0.3">
      <c r="A61" s="1" t="s">
        <v>68</v>
      </c>
      <c r="B61" s="4">
        <f t="shared" ref="B61:M61" si="15">((B49)+(B55))+(B60)</f>
        <v>10043.69</v>
      </c>
      <c r="C61" s="4">
        <f t="shared" si="15"/>
        <v>10050.85</v>
      </c>
      <c r="D61" s="4">
        <f t="shared" si="15"/>
        <v>13943.68</v>
      </c>
      <c r="E61" s="4">
        <f t="shared" si="15"/>
        <v>9129.51</v>
      </c>
      <c r="F61" s="4">
        <f t="shared" si="15"/>
        <v>5845.41</v>
      </c>
      <c r="G61" s="4">
        <f t="shared" si="15"/>
        <v>10629.96</v>
      </c>
      <c r="H61" s="4">
        <f t="shared" si="15"/>
        <v>8311.35</v>
      </c>
      <c r="I61" s="4">
        <f t="shared" si="15"/>
        <v>6552.6</v>
      </c>
      <c r="J61" s="4">
        <f t="shared" si="15"/>
        <v>77220.95</v>
      </c>
      <c r="K61" s="4">
        <f t="shared" si="15"/>
        <v>3113.35</v>
      </c>
      <c r="L61" s="4">
        <f t="shared" si="15"/>
        <v>3113.35</v>
      </c>
      <c r="M61" s="4">
        <f t="shared" si="15"/>
        <v>3113.25</v>
      </c>
      <c r="N61" s="4">
        <f t="shared" si="6"/>
        <v>161067.95000000001</v>
      </c>
    </row>
    <row r="62" spans="1:15" x14ac:dyDescent="0.3">
      <c r="A62" s="1" t="s">
        <v>69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>
        <f t="shared" si="6"/>
        <v>0</v>
      </c>
    </row>
    <row r="63" spans="1:15" x14ac:dyDescent="0.3">
      <c r="A63" s="20" t="s">
        <v>389</v>
      </c>
      <c r="B63" s="2"/>
      <c r="C63" s="2"/>
      <c r="D63" s="2"/>
      <c r="E63" s="2"/>
      <c r="F63" s="2"/>
      <c r="G63" s="2"/>
      <c r="H63" s="2"/>
      <c r="I63" s="226">
        <f>'BB Example 2 _ Cash Flows'!AX50</f>
        <v>5000</v>
      </c>
      <c r="J63" s="226">
        <f>'BB Example 2 _ Cash Flows'!AX82</f>
        <v>5000</v>
      </c>
      <c r="K63" s="226">
        <f>'BB Example 2 _ Cash Flows'!AX110</f>
        <v>5000</v>
      </c>
      <c r="L63" s="226">
        <f>'BB Example 2 _ Cash Flows'!AX136</f>
        <v>5000</v>
      </c>
      <c r="M63" s="226">
        <f>'BB Example 2 _ Cash Flows'!AX164</f>
        <v>5000</v>
      </c>
      <c r="N63" s="227">
        <f t="shared" si="6"/>
        <v>25000</v>
      </c>
      <c r="O63" s="228" t="s">
        <v>391</v>
      </c>
    </row>
    <row r="64" spans="1:15" x14ac:dyDescent="0.3">
      <c r="A64" s="1" t="s">
        <v>71</v>
      </c>
      <c r="B64" s="3">
        <f>280</f>
        <v>280</v>
      </c>
      <c r="C64" s="3">
        <f>458.5</f>
        <v>458.5</v>
      </c>
      <c r="D64" s="3">
        <f>385</f>
        <v>385</v>
      </c>
      <c r="E64" s="3">
        <f>673.75</f>
        <v>673.75</v>
      </c>
      <c r="F64" s="3">
        <f>367.5</f>
        <v>367.5</v>
      </c>
      <c r="G64" s="2"/>
      <c r="H64" s="2">
        <f>SUM('BB Example 2 _ Cash Flows'!AV17)</f>
        <v>750</v>
      </c>
      <c r="I64" s="226">
        <f>SUM('BB Example 2 _ Cash Flows'!AV51)</f>
        <v>0</v>
      </c>
      <c r="J64" s="226">
        <f>SUM('BB Example 2 _ Cash Flows'!AV83)</f>
        <v>0</v>
      </c>
      <c r="K64" s="226">
        <f>SUM('BB Example 2 _ Cash Flows'!AV112)</f>
        <v>0</v>
      </c>
      <c r="L64" s="226">
        <f>SUM('BB Example 2 _ Cash Flows'!AV138)</f>
        <v>0</v>
      </c>
      <c r="M64" s="226">
        <f>'BB Example 2 _ Cash Flows'!AV164</f>
        <v>0</v>
      </c>
      <c r="N64" s="227">
        <f t="shared" si="6"/>
        <v>2914.75</v>
      </c>
      <c r="O64" s="228" t="s">
        <v>366</v>
      </c>
    </row>
    <row r="65" spans="1:14" x14ac:dyDescent="0.3">
      <c r="A65" s="1" t="s">
        <v>72</v>
      </c>
      <c r="B65" s="2"/>
      <c r="C65" s="2"/>
      <c r="D65" s="2"/>
      <c r="E65" s="2"/>
      <c r="F65" s="3">
        <f>263.97</f>
        <v>263.97000000000003</v>
      </c>
      <c r="G65" s="3">
        <f>124.02</f>
        <v>124.02</v>
      </c>
      <c r="H65" s="127">
        <f>2</f>
        <v>2</v>
      </c>
      <c r="I65" s="126"/>
      <c r="J65" s="126"/>
      <c r="K65" s="126"/>
      <c r="L65" s="126"/>
      <c r="M65" s="126"/>
      <c r="N65" s="3">
        <f>(((((((((((B65)+(C65))+(D65))+(E65))+(F65))+(G65))+(H65))+(I65))+(J65))+(K65))+(L65))+(M65)</f>
        <v>389.99</v>
      </c>
    </row>
    <row r="66" spans="1:14" x14ac:dyDescent="0.3">
      <c r="A66" s="1" t="s">
        <v>73</v>
      </c>
      <c r="B66" s="2"/>
      <c r="C66" s="2"/>
      <c r="D66" s="2"/>
      <c r="E66" s="3">
        <f>35.25</f>
        <v>35.25</v>
      </c>
      <c r="F66" s="2"/>
      <c r="G66" s="3">
        <f>122.74</f>
        <v>122.74</v>
      </c>
      <c r="H66" s="127">
        <f>4350.62</f>
        <v>4350.62</v>
      </c>
      <c r="I66" s="126"/>
      <c r="J66" s="126"/>
      <c r="K66" s="126"/>
      <c r="L66" s="126"/>
      <c r="M66" s="126"/>
      <c r="N66" s="3">
        <f>(((((((((((B66)+(C66))+(D66))+(E66))+(F66))+(G66))+(H66))+(I66))+(J66))+(K66))+(L66))+(M66)</f>
        <v>4508.6099999999997</v>
      </c>
    </row>
    <row r="67" spans="1:14" x14ac:dyDescent="0.3">
      <c r="A67" s="1" t="s">
        <v>74</v>
      </c>
      <c r="B67" s="3">
        <f>259.83</f>
        <v>259.83</v>
      </c>
      <c r="C67" s="3">
        <f>115.34</f>
        <v>115.34</v>
      </c>
      <c r="D67" s="3">
        <f>146.04</f>
        <v>146.04</v>
      </c>
      <c r="E67" s="3">
        <f>132.68</f>
        <v>132.68</v>
      </c>
      <c r="F67" s="3">
        <f>243.28</f>
        <v>243.28</v>
      </c>
      <c r="G67" s="3">
        <f>131.71</f>
        <v>131.71</v>
      </c>
      <c r="H67" s="3">
        <f>122.82</f>
        <v>122.82</v>
      </c>
      <c r="I67" s="2">
        <f>SUM('Example 1 _ Cash Flows'!AF51)</f>
        <v>150</v>
      </c>
      <c r="J67" s="2">
        <f>SUM('Example 1 _ Cash Flows'!AF83)</f>
        <v>150</v>
      </c>
      <c r="K67" s="2">
        <f>SUM('Example 1 _ Cash Flows'!AF112)</f>
        <v>150</v>
      </c>
      <c r="L67" s="2">
        <f>SUM('Example 1 _ Cash Flows'!AF138)</f>
        <v>150</v>
      </c>
      <c r="M67" s="2">
        <f>SUM('Example 1 _ Cash Flows'!AF166)</f>
        <v>150</v>
      </c>
      <c r="N67" s="3">
        <f t="shared" si="6"/>
        <v>1901.6999999999998</v>
      </c>
    </row>
    <row r="68" spans="1:14" x14ac:dyDescent="0.3">
      <c r="A68" s="1" t="s">
        <v>75</v>
      </c>
      <c r="B68" s="3">
        <f>912.46</f>
        <v>912.46</v>
      </c>
      <c r="C68" s="3">
        <f>979.84</f>
        <v>979.84</v>
      </c>
      <c r="D68" s="3">
        <f>658.85</f>
        <v>658.85</v>
      </c>
      <c r="E68" s="3">
        <f>982.95</f>
        <v>982.95</v>
      </c>
      <c r="F68" s="3">
        <f>814.83</f>
        <v>814.83</v>
      </c>
      <c r="G68" s="3">
        <f>1166.7</f>
        <v>1166.7</v>
      </c>
      <c r="H68" s="3">
        <f>SUM(I68)</f>
        <v>778.6875</v>
      </c>
      <c r="I68" s="2">
        <f>'Example 1 _ Cash Flows'!Y51</f>
        <v>778.6875</v>
      </c>
      <c r="J68" s="2">
        <f>'Example 1 _ Cash Flows'!Y83</f>
        <v>778.6875</v>
      </c>
      <c r="K68" s="2">
        <f>'Example 1 _ Cash Flows'!Y112</f>
        <v>778.6875</v>
      </c>
      <c r="L68" s="2">
        <f>'Example 1 _ Cash Flows'!Y138</f>
        <v>778.6875</v>
      </c>
      <c r="M68" s="2">
        <f>'Example 1 _ Cash Flows'!Y166</f>
        <v>778.6875</v>
      </c>
      <c r="N68" s="3">
        <f t="shared" si="6"/>
        <v>10187.755000000001</v>
      </c>
    </row>
    <row r="69" spans="1:14" x14ac:dyDescent="0.3">
      <c r="A69" s="1" t="s">
        <v>76</v>
      </c>
      <c r="B69" s="3">
        <f>279.99</f>
        <v>279.99</v>
      </c>
      <c r="C69" s="3">
        <f>4359.99</f>
        <v>4359.99</v>
      </c>
      <c r="D69" s="2"/>
      <c r="E69" s="3">
        <f>1290</f>
        <v>1290</v>
      </c>
      <c r="F69" s="2"/>
      <c r="G69" s="2"/>
      <c r="H69" s="126"/>
      <c r="I69" s="126"/>
      <c r="J69" s="126"/>
      <c r="K69" s="126"/>
      <c r="L69" s="126"/>
      <c r="M69" s="126"/>
      <c r="N69" s="3">
        <f t="shared" si="6"/>
        <v>5929.98</v>
      </c>
    </row>
    <row r="70" spans="1:14" x14ac:dyDescent="0.3">
      <c r="A70" s="1" t="s">
        <v>77</v>
      </c>
      <c r="B70" s="3">
        <f>66</f>
        <v>66</v>
      </c>
      <c r="C70" s="2"/>
      <c r="D70" s="2"/>
      <c r="E70" s="2"/>
      <c r="F70" s="2"/>
      <c r="G70" s="2"/>
      <c r="H70" s="127">
        <f>49</f>
        <v>49</v>
      </c>
      <c r="I70" s="126"/>
      <c r="J70" s="126"/>
      <c r="K70" s="126"/>
      <c r="L70" s="126"/>
      <c r="M70" s="126"/>
      <c r="N70" s="3">
        <f t="shared" si="6"/>
        <v>115</v>
      </c>
    </row>
    <row r="71" spans="1:14" x14ac:dyDescent="0.3">
      <c r="A71" s="1" t="s">
        <v>78</v>
      </c>
      <c r="B71" s="2"/>
      <c r="C71" s="3">
        <f>165.98</f>
        <v>165.98</v>
      </c>
      <c r="D71" s="3">
        <f>381.04</f>
        <v>381.04</v>
      </c>
      <c r="E71" s="3">
        <f>347.66</f>
        <v>347.66</v>
      </c>
      <c r="F71" s="3">
        <f>752.46</f>
        <v>752.46</v>
      </c>
      <c r="G71" s="3">
        <f>297.77</f>
        <v>297.77</v>
      </c>
      <c r="H71" s="126"/>
      <c r="I71" s="126"/>
      <c r="J71" s="126"/>
      <c r="K71" s="126"/>
      <c r="L71" s="126"/>
      <c r="M71" s="126"/>
      <c r="N71" s="3">
        <f t="shared" si="6"/>
        <v>1944.91</v>
      </c>
    </row>
    <row r="72" spans="1:14" x14ac:dyDescent="0.3">
      <c r="A72" s="1" t="s">
        <v>79</v>
      </c>
      <c r="B72" s="3">
        <f>1317.74</f>
        <v>1317.74</v>
      </c>
      <c r="C72" s="3">
        <f>568.94</f>
        <v>568.94000000000005</v>
      </c>
      <c r="D72" s="3">
        <f>131.25</f>
        <v>131.25</v>
      </c>
      <c r="E72" s="3">
        <f>53.93</f>
        <v>53.93</v>
      </c>
      <c r="F72" s="3">
        <f>878</f>
        <v>878</v>
      </c>
      <c r="G72" s="3">
        <f>1472.34</f>
        <v>1472.34</v>
      </c>
      <c r="H72" s="127">
        <f>0</f>
        <v>0</v>
      </c>
      <c r="I72" s="126"/>
      <c r="J72" s="126"/>
      <c r="K72" s="126"/>
      <c r="L72" s="126"/>
      <c r="M72" s="126"/>
      <c r="N72" s="3">
        <f t="shared" si="6"/>
        <v>4422.2</v>
      </c>
    </row>
    <row r="73" spans="1:14" x14ac:dyDescent="0.3">
      <c r="A73" s="1" t="s">
        <v>80</v>
      </c>
      <c r="B73" s="3">
        <f>51.8</f>
        <v>51.8</v>
      </c>
      <c r="C73" s="3">
        <f>524.53</f>
        <v>524.53</v>
      </c>
      <c r="D73" s="3">
        <f>111.95</f>
        <v>111.95</v>
      </c>
      <c r="E73" s="3">
        <f>213.08</f>
        <v>213.08</v>
      </c>
      <c r="F73" s="3">
        <f>304.39</f>
        <v>304.39</v>
      </c>
      <c r="G73" s="3">
        <f>100.45</f>
        <v>100.45</v>
      </c>
      <c r="H73" s="127">
        <f>55</f>
        <v>55</v>
      </c>
      <c r="I73" s="126"/>
      <c r="J73" s="126"/>
      <c r="K73" s="126"/>
      <c r="L73" s="126"/>
      <c r="M73" s="126"/>
      <c r="N73" s="3">
        <f t="shared" si="6"/>
        <v>1361.2</v>
      </c>
    </row>
    <row r="74" spans="1:14" x14ac:dyDescent="0.3">
      <c r="A74" s="1" t="s">
        <v>81</v>
      </c>
      <c r="B74" s="3">
        <f>817.24</f>
        <v>817.24</v>
      </c>
      <c r="C74" s="3">
        <f>1413.11</f>
        <v>1413.11</v>
      </c>
      <c r="D74" s="3">
        <f>1005.44</f>
        <v>1005.44</v>
      </c>
      <c r="E74" s="3">
        <f>2662.69</f>
        <v>2662.69</v>
      </c>
      <c r="F74" s="3">
        <f>3020.58</f>
        <v>3020.58</v>
      </c>
      <c r="G74" s="3">
        <f>395.97</f>
        <v>395.97</v>
      </c>
      <c r="H74" s="2"/>
      <c r="I74" s="2">
        <f>'Example 1 _ Cash Flows'!AX51</f>
        <v>1750</v>
      </c>
      <c r="J74" s="2">
        <f>'Example 1 _ Cash Flows'!AX83</f>
        <v>1750</v>
      </c>
      <c r="K74" s="2">
        <f>'Example 1 _ Cash Flows'!AX112</f>
        <v>3250</v>
      </c>
      <c r="L74" s="2">
        <f>'Example 1 _ Cash Flows'!AX138</f>
        <v>1750</v>
      </c>
      <c r="M74" s="2">
        <f>'Example 1 _ Cash Flows'!AX166</f>
        <v>1750</v>
      </c>
      <c r="N74" s="3">
        <f t="shared" si="6"/>
        <v>19565.03</v>
      </c>
    </row>
    <row r="75" spans="1:14" x14ac:dyDescent="0.3">
      <c r="A75" s="1" t="s">
        <v>82</v>
      </c>
      <c r="B75" s="4">
        <f t="shared" ref="B75:M75" si="16">(((((((((((B63)+(B64))+(B65))+(B66))+(B67))+(B68))+(B69))+(B70))+(B71))+(B72))+(B73))+(B74)</f>
        <v>3985.0600000000004</v>
      </c>
      <c r="C75" s="4">
        <f t="shared" si="16"/>
        <v>8586.23</v>
      </c>
      <c r="D75" s="4">
        <f t="shared" si="16"/>
        <v>2819.5699999999997</v>
      </c>
      <c r="E75" s="4">
        <f t="shared" si="16"/>
        <v>6391.99</v>
      </c>
      <c r="F75" s="4">
        <f t="shared" si="16"/>
        <v>6645.01</v>
      </c>
      <c r="G75" s="4">
        <f t="shared" si="16"/>
        <v>3811.7</v>
      </c>
      <c r="H75" s="4">
        <f t="shared" si="16"/>
        <v>6108.1274999999996</v>
      </c>
      <c r="I75" s="4">
        <f>(((((((((((I63)+(I64))+(I65))+(I66))+(I67))+(I68))+(I69))+(I70))+(I71))+(I72))+(I73))+(I74)</f>
        <v>7678.6875</v>
      </c>
      <c r="J75" s="4">
        <f t="shared" si="16"/>
        <v>7678.6875</v>
      </c>
      <c r="K75" s="4">
        <f t="shared" si="16"/>
        <v>9178.6875</v>
      </c>
      <c r="L75" s="4">
        <f t="shared" si="16"/>
        <v>7678.6875</v>
      </c>
      <c r="M75" s="4">
        <f t="shared" si="16"/>
        <v>7678.6875</v>
      </c>
      <c r="N75" s="4">
        <f t="shared" si="6"/>
        <v>78241.125</v>
      </c>
    </row>
    <row r="76" spans="1:14" x14ac:dyDescent="0.3">
      <c r="A76" s="1" t="s">
        <v>83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>
        <f t="shared" si="6"/>
        <v>0</v>
      </c>
    </row>
    <row r="77" spans="1:14" x14ac:dyDescent="0.3">
      <c r="A77" s="1" t="s">
        <v>84</v>
      </c>
      <c r="B77" s="3">
        <f>2530</f>
        <v>2530</v>
      </c>
      <c r="C77" s="3">
        <f>2350</f>
        <v>2350</v>
      </c>
      <c r="D77" s="3">
        <f>2350</f>
        <v>2350</v>
      </c>
      <c r="E77" s="3">
        <f>2350</f>
        <v>2350</v>
      </c>
      <c r="F77" s="3">
        <f>2350</f>
        <v>2350</v>
      </c>
      <c r="G77" s="3">
        <f>2350</f>
        <v>2350</v>
      </c>
      <c r="H77" s="3">
        <f>2350</f>
        <v>2350</v>
      </c>
      <c r="I77" s="124">
        <f>'Example 1 _ Cash Flows'!AC51</f>
        <v>2350</v>
      </c>
      <c r="J77" s="2">
        <f>'Example 1 _ Cash Flows'!AC83</f>
        <v>2350</v>
      </c>
      <c r="K77" s="2">
        <f>'Example 1 _ Cash Flows'!AC112</f>
        <v>2350</v>
      </c>
      <c r="L77" s="2">
        <f>'Example 1 _ Cash Flows'!AC138</f>
        <v>2350</v>
      </c>
      <c r="M77" s="2">
        <f>'Example 1 _ Cash Flows'!AC166</f>
        <v>2350</v>
      </c>
      <c r="N77" s="3">
        <f t="shared" si="6"/>
        <v>28380</v>
      </c>
    </row>
    <row r="78" spans="1:14" x14ac:dyDescent="0.3">
      <c r="A78" s="1" t="s">
        <v>85</v>
      </c>
      <c r="B78" s="3">
        <f>2126.31</f>
        <v>2126.31</v>
      </c>
      <c r="C78" s="2"/>
      <c r="D78" s="2"/>
      <c r="E78" s="2"/>
      <c r="F78" s="2"/>
      <c r="G78" s="2"/>
      <c r="H78" s="126"/>
      <c r="I78" s="126"/>
      <c r="J78" s="126"/>
      <c r="K78" s="126"/>
      <c r="L78" s="126"/>
      <c r="M78" s="126"/>
      <c r="N78" s="3">
        <f t="shared" si="6"/>
        <v>2126.31</v>
      </c>
    </row>
    <row r="79" spans="1:14" x14ac:dyDescent="0.3">
      <c r="A79" s="1" t="s">
        <v>86</v>
      </c>
      <c r="B79" s="3">
        <f>687.41</f>
        <v>687.41</v>
      </c>
      <c r="C79" s="3">
        <f>483.45</f>
        <v>483.45</v>
      </c>
      <c r="D79" s="3">
        <f>318.7</f>
        <v>318.7</v>
      </c>
      <c r="E79" s="3">
        <f>819.87</f>
        <v>819.87</v>
      </c>
      <c r="F79" s="3">
        <f>339.41</f>
        <v>339.41</v>
      </c>
      <c r="G79" s="3">
        <f>218.49</f>
        <v>218.49</v>
      </c>
      <c r="H79" s="3">
        <f>94.95+'Example 1 _ Cash Flows'!U17</f>
        <v>194.95</v>
      </c>
      <c r="I79" s="2">
        <f>'Example 1 _ Cash Flows'!U51</f>
        <v>294.95</v>
      </c>
      <c r="J79" s="2">
        <f>'Example 1 _ Cash Flows'!U83</f>
        <v>294.95</v>
      </c>
      <c r="K79" s="2">
        <f>'Example 1 _ Cash Flows'!U112</f>
        <v>294.95</v>
      </c>
      <c r="L79" s="2">
        <f>'Example 1 _ Cash Flows'!U138</f>
        <v>294.95</v>
      </c>
      <c r="M79" s="2">
        <f>'Example 1 _ Cash Flows'!U166</f>
        <v>294.95</v>
      </c>
      <c r="N79" s="3">
        <f t="shared" si="6"/>
        <v>4537.0299999999988</v>
      </c>
    </row>
    <row r="80" spans="1:14" x14ac:dyDescent="0.3">
      <c r="A80" s="1" t="s">
        <v>87</v>
      </c>
      <c r="B80" s="2"/>
      <c r="C80" s="3">
        <f>62.58</f>
        <v>62.58</v>
      </c>
      <c r="D80" s="2"/>
      <c r="E80" s="2"/>
      <c r="F80" s="2"/>
      <c r="G80" s="2"/>
      <c r="H80" s="126"/>
      <c r="I80" s="126"/>
      <c r="J80" s="126"/>
      <c r="K80" s="126"/>
      <c r="L80" s="126"/>
      <c r="M80" s="126"/>
      <c r="N80" s="3">
        <f t="shared" si="6"/>
        <v>62.58</v>
      </c>
    </row>
    <row r="81" spans="1:15" x14ac:dyDescent="0.3">
      <c r="A81" s="1" t="s">
        <v>88</v>
      </c>
      <c r="B81" s="3">
        <f>970.79</f>
        <v>970.79</v>
      </c>
      <c r="C81" s="3">
        <f>912.44</f>
        <v>912.44</v>
      </c>
      <c r="D81" s="3">
        <f>1010.57</f>
        <v>1010.57</v>
      </c>
      <c r="E81" s="3">
        <f>870.18</f>
        <v>870.18</v>
      </c>
      <c r="F81" s="3">
        <f>813.03</f>
        <v>813.03</v>
      </c>
      <c r="G81" s="3">
        <f>812.9</f>
        <v>812.9</v>
      </c>
      <c r="H81" s="3">
        <f>200+'Example 1 _ Cash Flows'!V17+'Example 1 _ Cash Flows'!W17</f>
        <v>1651.8200000000002</v>
      </c>
      <c r="I81" s="3">
        <f>200+'Example 1 _ Cash Flows'!V51</f>
        <v>908.65</v>
      </c>
      <c r="J81" s="3">
        <f>200+'Example 1 _ Cash Flows'!V83</f>
        <v>908.65</v>
      </c>
      <c r="K81" s="3">
        <f>200+'Example 1 _ Cash Flows'!V112</f>
        <v>908.65</v>
      </c>
      <c r="L81" s="3">
        <f>200+'Example 1 _ Cash Flows'!V138</f>
        <v>908.65</v>
      </c>
      <c r="M81" s="3">
        <f>200+'Example 1 _ Cash Flows'!V166</f>
        <v>908.65</v>
      </c>
      <c r="N81" s="3">
        <f t="shared" si="6"/>
        <v>11584.979999999998</v>
      </c>
    </row>
    <row r="82" spans="1:15" x14ac:dyDescent="0.3">
      <c r="A82" s="1" t="s">
        <v>89</v>
      </c>
      <c r="B82" s="3">
        <f>719.91</f>
        <v>719.91</v>
      </c>
      <c r="C82" s="3">
        <f>813.28</f>
        <v>813.28</v>
      </c>
      <c r="D82" s="3">
        <f>831.52</f>
        <v>831.52</v>
      </c>
      <c r="E82" s="3">
        <f>735.63</f>
        <v>735.63</v>
      </c>
      <c r="F82" s="3">
        <f>532.08</f>
        <v>532.08000000000004</v>
      </c>
      <c r="G82" s="3">
        <f>835.76</f>
        <v>835.76</v>
      </c>
      <c r="H82" s="3">
        <f>362.8+'Example 1 _ Cash Flows'!W17</f>
        <v>1355.97</v>
      </c>
      <c r="I82" s="3">
        <f>44.94+'Example 1 _ Cash Flows'!W51</f>
        <v>1105.8375000000001</v>
      </c>
      <c r="J82" s="2">
        <f>SUM('Example 1 _ Cash Flows'!W83)</f>
        <v>779.72749999999996</v>
      </c>
      <c r="K82" s="2">
        <f>SUM('Example 1 _ Cash Flows'!W112)</f>
        <v>779.72749999999996</v>
      </c>
      <c r="L82" s="2">
        <f>SUM('Example 1 _ Cash Flows'!W138)</f>
        <v>779.72749999999996</v>
      </c>
      <c r="M82" s="2">
        <f>SUM('Example 1 _ Cash Flows'!W166)</f>
        <v>779.72749999999996</v>
      </c>
      <c r="N82" s="3">
        <f t="shared" ref="N82:N99" si="17">(((((((((((B82)+(C82))+(D82))+(E82))+(F82))+(G82))+(H82))+(I82))+(J82))+(K82))+(L82))+(M82)</f>
        <v>10048.897500000003</v>
      </c>
    </row>
    <row r="83" spans="1:15" x14ac:dyDescent="0.3">
      <c r="A83" s="1" t="s">
        <v>90</v>
      </c>
      <c r="B83" s="3">
        <f t="shared" ref="B83:G83" si="18">281.32</f>
        <v>281.32</v>
      </c>
      <c r="C83" s="3">
        <f t="shared" si="18"/>
        <v>281.32</v>
      </c>
      <c r="D83" s="3">
        <f t="shared" si="18"/>
        <v>281.32</v>
      </c>
      <c r="E83" s="3">
        <f t="shared" si="18"/>
        <v>281.32</v>
      </c>
      <c r="F83" s="3">
        <f t="shared" si="18"/>
        <v>281.32</v>
      </c>
      <c r="G83" s="3">
        <f t="shared" si="18"/>
        <v>281.32</v>
      </c>
      <c r="H83" s="126"/>
      <c r="I83" s="126"/>
      <c r="J83" s="126"/>
      <c r="K83" s="126"/>
      <c r="L83" s="126"/>
      <c r="M83" s="126"/>
      <c r="N83" s="3">
        <f t="shared" si="17"/>
        <v>1687.9199999999998</v>
      </c>
    </row>
    <row r="84" spans="1:15" x14ac:dyDescent="0.3">
      <c r="A84" s="1" t="s">
        <v>91</v>
      </c>
      <c r="B84" s="4">
        <f t="shared" ref="B84:M84" si="19">(((((((B76)+(B77))+(B78))+(B79))+(B80))+(B81))+(B82))+(B83)</f>
        <v>7315.7399999999989</v>
      </c>
      <c r="C84" s="4">
        <f t="shared" si="19"/>
        <v>4903.07</v>
      </c>
      <c r="D84" s="4">
        <f t="shared" si="19"/>
        <v>4792.1099999999997</v>
      </c>
      <c r="E84" s="4">
        <f t="shared" si="19"/>
        <v>5056.9999999999991</v>
      </c>
      <c r="F84" s="4">
        <f t="shared" si="19"/>
        <v>4315.8399999999992</v>
      </c>
      <c r="G84" s="4">
        <f t="shared" si="19"/>
        <v>4498.4699999999993</v>
      </c>
      <c r="H84" s="4">
        <f t="shared" si="19"/>
        <v>5552.7400000000007</v>
      </c>
      <c r="I84" s="4">
        <f>(((((((I76)+(M77))+(I78))+(I79))+(I80))+(I81))+(I82))+(I83)</f>
        <v>4659.4375</v>
      </c>
      <c r="J84" s="4">
        <f t="shared" si="19"/>
        <v>4333.3274999999994</v>
      </c>
      <c r="K84" s="4">
        <f t="shared" si="19"/>
        <v>4333.3274999999994</v>
      </c>
      <c r="L84" s="4">
        <f t="shared" si="19"/>
        <v>4333.3274999999994</v>
      </c>
      <c r="M84" s="4">
        <f t="shared" si="19"/>
        <v>4333.3274999999994</v>
      </c>
      <c r="N84" s="4">
        <f t="shared" si="17"/>
        <v>58427.717499999992</v>
      </c>
    </row>
    <row r="85" spans="1:15" x14ac:dyDescent="0.3">
      <c r="A85" s="1" t="s">
        <v>92</v>
      </c>
      <c r="B85" s="4">
        <f t="shared" ref="B85:M85" si="20">((B62)+(B75))+(B84)</f>
        <v>11300.8</v>
      </c>
      <c r="C85" s="4">
        <f t="shared" si="20"/>
        <v>13489.3</v>
      </c>
      <c r="D85" s="4">
        <f t="shared" si="20"/>
        <v>7611.6799999999994</v>
      </c>
      <c r="E85" s="4">
        <f t="shared" si="20"/>
        <v>11448.989999999998</v>
      </c>
      <c r="F85" s="4">
        <f t="shared" si="20"/>
        <v>10960.849999999999</v>
      </c>
      <c r="G85" s="4">
        <f t="shared" si="20"/>
        <v>8310.1699999999983</v>
      </c>
      <c r="H85" s="4">
        <f t="shared" si="20"/>
        <v>11660.8675</v>
      </c>
      <c r="I85" s="4">
        <f t="shared" si="20"/>
        <v>12338.125</v>
      </c>
      <c r="J85" s="4">
        <f t="shared" si="20"/>
        <v>12012.014999999999</v>
      </c>
      <c r="K85" s="4">
        <f t="shared" si="20"/>
        <v>13512.014999999999</v>
      </c>
      <c r="L85" s="4">
        <f t="shared" si="20"/>
        <v>12012.014999999999</v>
      </c>
      <c r="M85" s="4">
        <f t="shared" si="20"/>
        <v>12012.014999999999</v>
      </c>
      <c r="N85" s="4">
        <f t="shared" si="17"/>
        <v>136668.8425</v>
      </c>
    </row>
    <row r="86" spans="1:15" x14ac:dyDescent="0.3">
      <c r="A86" s="1" t="s">
        <v>93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>
        <f t="shared" si="17"/>
        <v>0</v>
      </c>
    </row>
    <row r="87" spans="1:15" x14ac:dyDescent="0.3">
      <c r="A87" s="1" t="s">
        <v>94</v>
      </c>
      <c r="B87" s="3">
        <f>35925.44</f>
        <v>35925.440000000002</v>
      </c>
      <c r="C87" s="3">
        <f>34250.9</f>
        <v>34250.9</v>
      </c>
      <c r="D87" s="3">
        <f>35708.8</f>
        <v>35708.800000000003</v>
      </c>
      <c r="E87" s="3">
        <f>25010.27</f>
        <v>25010.27</v>
      </c>
      <c r="F87" s="3">
        <f>28301.02</f>
        <v>28301.02</v>
      </c>
      <c r="G87" s="3">
        <f>26814.25</f>
        <v>26814.25</v>
      </c>
      <c r="H87" s="3">
        <f>26989.52</f>
        <v>26989.52</v>
      </c>
      <c r="I87" s="2">
        <f>SUM('Example 1 _ Cash Flows'!AH51)</f>
        <v>27200</v>
      </c>
      <c r="J87" s="226">
        <f>SUM('BB Example 2 _ Cash Flows'!AH82)</f>
        <v>20000</v>
      </c>
      <c r="K87" s="226">
        <f>SUM('BB Example 2 _ Cash Flows'!AH110)</f>
        <v>20000</v>
      </c>
      <c r="L87" s="226">
        <f>SUM('BB Example 2 _ Cash Flows'!AH136)</f>
        <v>20000</v>
      </c>
      <c r="M87" s="226">
        <f>SUM('BB Example 2 _ Cash Flows'!AH164)</f>
        <v>20000</v>
      </c>
      <c r="N87" s="227">
        <f t="shared" si="17"/>
        <v>320200.19999999995</v>
      </c>
      <c r="O87" s="228" t="s">
        <v>367</v>
      </c>
    </row>
    <row r="88" spans="1:15" x14ac:dyDescent="0.3">
      <c r="A88" s="1" t="s">
        <v>95</v>
      </c>
      <c r="B88" s="3">
        <f>138</f>
        <v>138</v>
      </c>
      <c r="C88" s="3">
        <f>538.46</f>
        <v>538.46</v>
      </c>
      <c r="D88" s="3">
        <f>4081.2</f>
        <v>4081.2</v>
      </c>
      <c r="E88" s="3">
        <f>3500</f>
        <v>3500</v>
      </c>
      <c r="F88" s="3">
        <f>0</f>
        <v>0</v>
      </c>
      <c r="G88" s="3">
        <f>830.77</f>
        <v>830.77</v>
      </c>
      <c r="H88" s="2">
        <f>SUM(I88)</f>
        <v>2000</v>
      </c>
      <c r="I88" s="2">
        <f>SUM('Example 1 _ Cash Flows'!AI51)</f>
        <v>2000</v>
      </c>
      <c r="J88" s="226">
        <f>'BB Example 2 _ Cash Flows'!AI82</f>
        <v>1500</v>
      </c>
      <c r="K88" s="226">
        <f>'BB Example 2 _ Cash Flows'!AI110</f>
        <v>1500</v>
      </c>
      <c r="L88" s="226">
        <f>'BB Example 2 _ Cash Flows'!AI136</f>
        <v>1500</v>
      </c>
      <c r="M88" s="226">
        <f>'BB Example 2 _ Cash Flows'!AI164</f>
        <v>1500</v>
      </c>
      <c r="N88" s="227">
        <f t="shared" si="17"/>
        <v>19088.43</v>
      </c>
      <c r="O88" s="228" t="s">
        <v>367</v>
      </c>
    </row>
    <row r="89" spans="1:15" x14ac:dyDescent="0.3">
      <c r="A89" s="1" t="s">
        <v>96</v>
      </c>
      <c r="B89" s="3">
        <f>2979.87</f>
        <v>2979.87</v>
      </c>
      <c r="C89" s="3">
        <f>3003.23</f>
        <v>3003.23</v>
      </c>
      <c r="D89" s="3">
        <f>3102.92</f>
        <v>3102.92</v>
      </c>
      <c r="E89" s="3">
        <f>2247.14</f>
        <v>2247.14</v>
      </c>
      <c r="F89" s="3">
        <f>2295.92</f>
        <v>2295.92</v>
      </c>
      <c r="G89" s="3">
        <f>2114.85</f>
        <v>2114.85</v>
      </c>
      <c r="H89" s="3">
        <f>3578.4</f>
        <v>3578.4</v>
      </c>
      <c r="I89" s="2">
        <f>SUM('Example 1 _ Cash Flows'!AJ51)</f>
        <v>4000</v>
      </c>
      <c r="J89" s="226">
        <f>'BB Example 2 _ Cash Flows'!AJ82</f>
        <v>3000</v>
      </c>
      <c r="K89" s="226">
        <f>'BB Example 2 _ Cash Flows'!AJ110</f>
        <v>3000</v>
      </c>
      <c r="L89" s="226">
        <f>'BB Example 2 _ Cash Flows'!AJ136</f>
        <v>3000</v>
      </c>
      <c r="M89" s="226">
        <f>'BB Example 2 _ Cash Flows'!AJ164</f>
        <v>3000</v>
      </c>
      <c r="N89" s="227">
        <f t="shared" si="17"/>
        <v>35322.33</v>
      </c>
      <c r="O89" s="228" t="s">
        <v>367</v>
      </c>
    </row>
    <row r="90" spans="1:15" x14ac:dyDescent="0.3">
      <c r="A90" s="1" t="s">
        <v>97</v>
      </c>
      <c r="B90" s="3">
        <f>53</f>
        <v>53</v>
      </c>
      <c r="C90" s="3">
        <f>53</f>
        <v>53</v>
      </c>
      <c r="D90" s="3">
        <f>53</f>
        <v>53</v>
      </c>
      <c r="E90" s="3">
        <f>51</f>
        <v>51</v>
      </c>
      <c r="F90" s="3">
        <f>51</f>
        <v>51</v>
      </c>
      <c r="G90" s="3">
        <f>51</f>
        <v>51</v>
      </c>
      <c r="H90" s="2">
        <v>51</v>
      </c>
      <c r="I90" s="2">
        <f>'Example 1 _ Cash Flows'!AR51</f>
        <v>63.75</v>
      </c>
      <c r="J90" s="2">
        <f>'Example 1 _ Cash Flows'!AR83</f>
        <v>63.75</v>
      </c>
      <c r="K90" s="2">
        <f>'Example 1 _ Cash Flows'!AR112</f>
        <v>63.75</v>
      </c>
      <c r="L90" s="2">
        <f>'Example 1 _ Cash Flows'!AR138</f>
        <v>63.75</v>
      </c>
      <c r="M90" s="2">
        <f>'Example 1 _ Cash Flows'!AR166</f>
        <v>63.75</v>
      </c>
      <c r="N90" s="3">
        <f t="shared" si="17"/>
        <v>681.75</v>
      </c>
    </row>
    <row r="91" spans="1:15" x14ac:dyDescent="0.3">
      <c r="A91" s="1" t="s">
        <v>98</v>
      </c>
      <c r="B91" s="3">
        <f>2704</f>
        <v>2704</v>
      </c>
      <c r="C91" s="2"/>
      <c r="D91" s="2"/>
      <c r="E91" s="3">
        <f>-532</f>
        <v>-532</v>
      </c>
      <c r="F91" s="2"/>
      <c r="G91" s="2"/>
      <c r="H91" s="126"/>
      <c r="I91" s="126"/>
      <c r="J91" s="126"/>
      <c r="K91" s="126"/>
      <c r="L91" s="126"/>
      <c r="M91" s="126"/>
      <c r="N91" s="3">
        <f t="shared" si="17"/>
        <v>2172</v>
      </c>
    </row>
    <row r="92" spans="1:15" x14ac:dyDescent="0.3">
      <c r="A92" s="1" t="s">
        <v>99</v>
      </c>
      <c r="B92" s="3">
        <f>2700</f>
        <v>2700</v>
      </c>
      <c r="C92" s="3">
        <f>2700</f>
        <v>2700</v>
      </c>
      <c r="D92" s="3">
        <f>2950</f>
        <v>2950</v>
      </c>
      <c r="E92" s="3">
        <f>2450</f>
        <v>2450</v>
      </c>
      <c r="F92" s="3">
        <f>2700</f>
        <v>2700</v>
      </c>
      <c r="G92" s="3">
        <f>2700</f>
        <v>2700</v>
      </c>
      <c r="H92" s="3">
        <f>2700</f>
        <v>2700</v>
      </c>
      <c r="I92" s="2">
        <f>SUM('Example 1 _ Cash Flows'!AG51)</f>
        <v>2750</v>
      </c>
      <c r="J92" s="226">
        <f>'BB Example 2 _ Cash Flows'!AG82</f>
        <v>2020</v>
      </c>
      <c r="K92" s="226">
        <f>'BB Example 2 _ Cash Flows'!AG110</f>
        <v>2020</v>
      </c>
      <c r="L92" s="226">
        <f>'BB Example 2 _ Cash Flows'!AG136</f>
        <v>2020</v>
      </c>
      <c r="M92" s="226">
        <f>'BB Example 2 _ Cash Flows'!AG164</f>
        <v>2020</v>
      </c>
      <c r="N92" s="227">
        <f t="shared" si="17"/>
        <v>29730</v>
      </c>
      <c r="O92" s="228" t="s">
        <v>367</v>
      </c>
    </row>
    <row r="93" spans="1:15" x14ac:dyDescent="0.3">
      <c r="A93" s="1" t="s">
        <v>100</v>
      </c>
      <c r="B93" s="2"/>
      <c r="C93" s="2"/>
      <c r="D93" s="2"/>
      <c r="E93" s="2"/>
      <c r="F93" s="3">
        <f>58.79</f>
        <v>58.79</v>
      </c>
      <c r="G93" s="2"/>
      <c r="H93" s="126"/>
      <c r="I93" s="126"/>
      <c r="J93" s="126"/>
      <c r="K93" s="126"/>
      <c r="L93" s="126"/>
      <c r="M93" s="126"/>
      <c r="N93" s="3">
        <f t="shared" si="17"/>
        <v>58.79</v>
      </c>
    </row>
    <row r="94" spans="1:15" x14ac:dyDescent="0.3">
      <c r="A94" s="1" t="s">
        <v>101</v>
      </c>
      <c r="B94" s="3">
        <f>200</f>
        <v>200</v>
      </c>
      <c r="C94" s="3">
        <f>200</f>
        <v>200</v>
      </c>
      <c r="D94" s="3">
        <f>200</f>
        <v>200</v>
      </c>
      <c r="E94" s="3">
        <f>200</f>
        <v>200</v>
      </c>
      <c r="F94" s="3">
        <f>200</f>
        <v>200</v>
      </c>
      <c r="G94" s="3">
        <f>462.5</f>
        <v>462.5</v>
      </c>
      <c r="H94" s="3">
        <f>200</f>
        <v>200</v>
      </c>
      <c r="I94" s="3">
        <f>200+'Example 1 _ Cash Flows'!AK51</f>
        <v>450</v>
      </c>
      <c r="J94" s="3">
        <f>200+'Example 1 _ Cash Flows'!AK83</f>
        <v>450</v>
      </c>
      <c r="K94" s="3">
        <f>200+'Example 1 _ Cash Flows'!AK112</f>
        <v>450</v>
      </c>
      <c r="L94" s="3">
        <f>200+'Example 1 _ Cash Flows'!AK138</f>
        <v>450</v>
      </c>
      <c r="M94" s="3">
        <f>200+'Example 1 _ Cash Flows'!AK166</f>
        <v>450</v>
      </c>
      <c r="N94" s="3">
        <f t="shared" si="17"/>
        <v>3912.5</v>
      </c>
    </row>
    <row r="95" spans="1:15" x14ac:dyDescent="0.3">
      <c r="A95" s="1" t="s">
        <v>102</v>
      </c>
      <c r="B95" s="3">
        <f>163.92</f>
        <v>163.92</v>
      </c>
      <c r="C95" s="2"/>
      <c r="D95" s="2"/>
      <c r="E95" s="2"/>
      <c r="F95" s="3">
        <f>166.24</f>
        <v>166.24</v>
      </c>
      <c r="G95" s="3">
        <f>50</f>
        <v>50</v>
      </c>
      <c r="H95" s="126"/>
      <c r="I95" s="126"/>
      <c r="J95" s="126"/>
      <c r="K95" s="126"/>
      <c r="L95" s="126"/>
      <c r="M95" s="126"/>
      <c r="N95" s="3">
        <f t="shared" si="17"/>
        <v>380.15999999999997</v>
      </c>
    </row>
    <row r="96" spans="1:15" x14ac:dyDescent="0.3">
      <c r="A96" s="1" t="s">
        <v>103</v>
      </c>
      <c r="B96" s="4">
        <f t="shared" ref="B96:M96" si="21">(((((((((B86)+(B87))+(B88))+(B89))+(B90))+(B91))+(B92))+(B93))+(B94))+(B95)</f>
        <v>44864.23</v>
      </c>
      <c r="C96" s="4">
        <f t="shared" si="21"/>
        <v>40745.590000000004</v>
      </c>
      <c r="D96" s="4">
        <f t="shared" si="21"/>
        <v>46095.92</v>
      </c>
      <c r="E96" s="4">
        <f t="shared" si="21"/>
        <v>32926.410000000003</v>
      </c>
      <c r="F96" s="4">
        <f t="shared" si="21"/>
        <v>33772.97</v>
      </c>
      <c r="G96" s="4">
        <f t="shared" si="21"/>
        <v>33023.369999999995</v>
      </c>
      <c r="H96" s="4">
        <f t="shared" si="21"/>
        <v>35518.92</v>
      </c>
      <c r="I96" s="4">
        <f t="shared" si="21"/>
        <v>36463.75</v>
      </c>
      <c r="J96" s="4">
        <f t="shared" si="21"/>
        <v>27033.75</v>
      </c>
      <c r="K96" s="4">
        <f t="shared" si="21"/>
        <v>27033.75</v>
      </c>
      <c r="L96" s="4">
        <f t="shared" si="21"/>
        <v>27033.75</v>
      </c>
      <c r="M96" s="4">
        <f t="shared" si="21"/>
        <v>27033.75</v>
      </c>
      <c r="N96" s="4">
        <f t="shared" si="17"/>
        <v>411546.16</v>
      </c>
    </row>
    <row r="97" spans="1:15" x14ac:dyDescent="0.3">
      <c r="A97" s="1" t="s">
        <v>104</v>
      </c>
      <c r="B97" s="4">
        <f t="shared" ref="B97:M97" si="22">(((B48)+(B61))+(B85))+(B96)</f>
        <v>102407.95000000001</v>
      </c>
      <c r="C97" s="4">
        <f t="shared" si="22"/>
        <v>189358.77</v>
      </c>
      <c r="D97" s="4">
        <f t="shared" si="22"/>
        <v>153845.65999999997</v>
      </c>
      <c r="E97" s="4">
        <f t="shared" si="22"/>
        <v>130791.37</v>
      </c>
      <c r="F97" s="4">
        <f t="shared" si="22"/>
        <v>123618.35</v>
      </c>
      <c r="G97" s="4">
        <f t="shared" si="22"/>
        <v>83165.45</v>
      </c>
      <c r="H97" s="4">
        <f t="shared" si="22"/>
        <v>86988.987499999988</v>
      </c>
      <c r="I97" s="4">
        <f t="shared" si="22"/>
        <v>113675.0125</v>
      </c>
      <c r="J97" s="4">
        <f t="shared" si="22"/>
        <v>170337.2525</v>
      </c>
      <c r="K97" s="4">
        <f t="shared" si="22"/>
        <v>89659.652499999997</v>
      </c>
      <c r="L97" s="4">
        <f t="shared" si="22"/>
        <v>63277.302499999998</v>
      </c>
      <c r="M97" s="4">
        <f t="shared" si="22"/>
        <v>63277.202499999999</v>
      </c>
      <c r="N97" s="4">
        <f t="shared" si="17"/>
        <v>1370402.9599999997</v>
      </c>
    </row>
    <row r="98" spans="1:15" x14ac:dyDescent="0.3">
      <c r="A98" s="1" t="s">
        <v>105</v>
      </c>
      <c r="B98" s="4">
        <f t="shared" ref="B98:M98" si="23">(B16)-(B97)</f>
        <v>16796.039999999994</v>
      </c>
      <c r="C98" s="4">
        <f t="shared" si="23"/>
        <v>-68812.349999999991</v>
      </c>
      <c r="D98" s="4">
        <f t="shared" si="23"/>
        <v>-34156.209999999977</v>
      </c>
      <c r="E98" s="4">
        <f t="shared" si="23"/>
        <v>54571.19</v>
      </c>
      <c r="F98" s="4">
        <f t="shared" si="23"/>
        <v>-3580.7300000000105</v>
      </c>
      <c r="G98" s="4">
        <f t="shared" si="23"/>
        <v>36035.460000000006</v>
      </c>
      <c r="H98" s="4">
        <f t="shared" si="23"/>
        <v>32183.232500000013</v>
      </c>
      <c r="I98" s="4">
        <f t="shared" si="23"/>
        <v>5497.2075000000041</v>
      </c>
      <c r="J98" s="4">
        <f t="shared" si="23"/>
        <v>-51165.032500000001</v>
      </c>
      <c r="K98" s="4">
        <f t="shared" si="23"/>
        <v>29512.567500000005</v>
      </c>
      <c r="L98" s="4">
        <f t="shared" si="23"/>
        <v>55894.917500000003</v>
      </c>
      <c r="M98" s="4">
        <f t="shared" si="23"/>
        <v>55895.017500000002</v>
      </c>
      <c r="N98" s="4">
        <f t="shared" si="17"/>
        <v>128671.31000000004</v>
      </c>
    </row>
    <row r="99" spans="1:15" x14ac:dyDescent="0.3">
      <c r="A99" s="1" t="s">
        <v>106</v>
      </c>
      <c r="B99" s="5">
        <f t="shared" ref="B99:M99" si="24">(B98)+(0)</f>
        <v>16796.039999999994</v>
      </c>
      <c r="C99" s="5">
        <f t="shared" si="24"/>
        <v>-68812.349999999991</v>
      </c>
      <c r="D99" s="5">
        <f t="shared" si="24"/>
        <v>-34156.209999999977</v>
      </c>
      <c r="E99" s="5">
        <f t="shared" si="24"/>
        <v>54571.19</v>
      </c>
      <c r="F99" s="5">
        <f t="shared" si="24"/>
        <v>-3580.7300000000105</v>
      </c>
      <c r="G99" s="5">
        <f t="shared" si="24"/>
        <v>36035.460000000006</v>
      </c>
      <c r="H99" s="5">
        <f t="shared" si="24"/>
        <v>32183.232500000013</v>
      </c>
      <c r="I99" s="5">
        <f t="shared" si="24"/>
        <v>5497.2075000000041</v>
      </c>
      <c r="J99" s="5">
        <f t="shared" si="24"/>
        <v>-51165.032500000001</v>
      </c>
      <c r="K99" s="5">
        <f t="shared" si="24"/>
        <v>29512.567500000005</v>
      </c>
      <c r="L99" s="5">
        <f t="shared" si="24"/>
        <v>55894.917500000003</v>
      </c>
      <c r="M99" s="5">
        <f t="shared" si="24"/>
        <v>55895.017500000002</v>
      </c>
      <c r="N99" s="5">
        <f t="shared" si="17"/>
        <v>128671.31000000004</v>
      </c>
    </row>
    <row r="100" spans="1:15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5" x14ac:dyDescent="0.3">
      <c r="A101" s="221"/>
      <c r="B101" s="222" t="s">
        <v>0</v>
      </c>
      <c r="C101" s="222" t="s">
        <v>1</v>
      </c>
      <c r="D101" s="222" t="s">
        <v>2</v>
      </c>
      <c r="E101" s="222" t="s">
        <v>3</v>
      </c>
      <c r="F101" s="222" t="s">
        <v>4</v>
      </c>
      <c r="G101" s="222" t="s">
        <v>5</v>
      </c>
      <c r="H101" s="222" t="s">
        <v>6</v>
      </c>
      <c r="I101" s="222" t="s">
        <v>7</v>
      </c>
      <c r="J101" s="222" t="s">
        <v>8</v>
      </c>
      <c r="K101" s="222" t="s">
        <v>9</v>
      </c>
      <c r="L101" s="222" t="s">
        <v>10</v>
      </c>
      <c r="M101" s="222" t="s">
        <v>11</v>
      </c>
      <c r="N101" s="222" t="s">
        <v>12</v>
      </c>
      <c r="O101" s="223" t="s">
        <v>349</v>
      </c>
    </row>
    <row r="103" spans="1:15" x14ac:dyDescent="0.3">
      <c r="A103" s="581" t="s">
        <v>107</v>
      </c>
      <c r="B103" s="582"/>
      <c r="C103" s="582"/>
      <c r="D103" s="582"/>
      <c r="E103" s="582"/>
      <c r="F103" s="582"/>
      <c r="G103" s="582"/>
      <c r="H103" s="582"/>
      <c r="I103" s="582"/>
      <c r="J103" s="582"/>
      <c r="K103" s="582"/>
      <c r="L103" s="582"/>
      <c r="M103" s="582"/>
      <c r="N103" s="582"/>
    </row>
  </sheetData>
  <mergeCells count="4">
    <mergeCell ref="A103:N103"/>
    <mergeCell ref="A1:O1"/>
    <mergeCell ref="A2:O2"/>
    <mergeCell ref="A3:O3"/>
  </mergeCells>
  <printOptions horizontalCentered="1" verticalCentered="1"/>
  <pageMargins left="0.25" right="0.25" top="0.25" bottom="0.25" header="0" footer="0"/>
  <pageSetup scale="70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C1E03-E9DE-43FB-AF87-60C3D99BA906}">
  <sheetPr codeName="Sheet5">
    <pageSetUpPr fitToPage="1"/>
  </sheetPr>
  <dimension ref="A1:BA198"/>
  <sheetViews>
    <sheetView zoomScaleNormal="100" workbookViewId="0">
      <pane ySplit="4" topLeftCell="A152" activePane="bottomLeft" state="frozen"/>
      <selection activeCell="I3" sqref="I3"/>
      <selection pane="bottomLeft" activeCell="A59" sqref="A59:E59"/>
    </sheetView>
  </sheetViews>
  <sheetFormatPr defaultColWidth="9.109375" defaultRowHeight="14.4" x14ac:dyDescent="0.3"/>
  <cols>
    <col min="1" max="1" width="2.44140625" style="8" bestFit="1" customWidth="1"/>
    <col min="2" max="2" width="23" style="7" customWidth="1"/>
    <col min="3" max="3" width="9.5546875" style="7" bestFit="1" customWidth="1"/>
    <col min="4" max="4" width="10.6640625" style="7" bestFit="1" customWidth="1"/>
    <col min="5" max="5" width="29.6640625" style="7" bestFit="1" customWidth="1"/>
    <col min="6" max="6" width="14.109375" style="7" bestFit="1" customWidth="1"/>
    <col min="7" max="7" width="13.88671875" style="84" hidden="1" customWidth="1"/>
    <col min="8" max="8" width="11.6640625" style="84" hidden="1" customWidth="1"/>
    <col min="9" max="9" width="9.5546875" style="84" hidden="1" customWidth="1"/>
    <col min="10" max="10" width="7.88671875" style="84" hidden="1" customWidth="1"/>
    <col min="11" max="11" width="9" style="7" hidden="1" customWidth="1"/>
    <col min="12" max="12" width="4.44140625" style="38" hidden="1" customWidth="1"/>
    <col min="13" max="13" width="9.88671875" style="7" hidden="1" customWidth="1"/>
    <col min="14" max="14" width="4.44140625" style="7" hidden="1" customWidth="1"/>
    <col min="15" max="15" width="9" style="7" hidden="1" customWidth="1"/>
    <col min="16" max="16" width="4.44140625" style="7" hidden="1" customWidth="1"/>
    <col min="17" max="17" width="9" style="7" hidden="1" customWidth="1"/>
    <col min="18" max="18" width="4.44140625" style="7" hidden="1" customWidth="1"/>
    <col min="19" max="19" width="7.6640625" style="7" hidden="1" customWidth="1"/>
    <col min="20" max="20" width="9.88671875" style="7" hidden="1" customWidth="1"/>
    <col min="21" max="21" width="9.44140625" style="121" customWidth="1"/>
    <col min="22" max="22" width="9.44140625" style="62" customWidth="1"/>
    <col min="23" max="23" width="9.6640625" style="7" bestFit="1" customWidth="1"/>
    <col min="24" max="24" width="8.6640625" style="7" bestFit="1" customWidth="1"/>
    <col min="25" max="25" width="8" style="7" bestFit="1" customWidth="1"/>
    <col min="26" max="26" width="8.6640625" style="7" bestFit="1" customWidth="1"/>
    <col min="27" max="27" width="9.6640625" style="7" bestFit="1" customWidth="1"/>
    <col min="28" max="29" width="8.88671875" style="7" bestFit="1" customWidth="1"/>
    <col min="30" max="31" width="9.109375" style="7" bestFit="1" customWidth="1"/>
    <col min="32" max="32" width="6.6640625" style="7" bestFit="1" customWidth="1"/>
    <col min="33" max="33" width="9.109375" style="7" bestFit="1" customWidth="1"/>
    <col min="34" max="34" width="10" style="7" bestFit="1" customWidth="1"/>
    <col min="35" max="36" width="9.109375" style="7" bestFit="1" customWidth="1"/>
    <col min="37" max="41" width="8" style="7" bestFit="1" customWidth="1"/>
    <col min="42" max="42" width="8" style="7" customWidth="1"/>
    <col min="43" max="43" width="8" style="7" bestFit="1" customWidth="1"/>
    <col min="44" max="46" width="9.33203125" style="7" bestFit="1" customWidth="1"/>
    <col min="47" max="47" width="10.109375" style="7" bestFit="1" customWidth="1"/>
    <col min="48" max="50" width="10.109375" style="7" customWidth="1"/>
    <col min="51" max="51" width="9.33203125" style="62" bestFit="1" customWidth="1"/>
    <col min="52" max="52" width="10" style="121" bestFit="1" customWidth="1"/>
    <col min="53" max="53" width="11.109375" style="97" bestFit="1" customWidth="1"/>
    <col min="54" max="16384" width="9.109375" style="97"/>
  </cols>
  <sheetData>
    <row r="1" spans="1:52" s="37" customFormat="1" ht="15" customHeight="1" x14ac:dyDescent="0.3">
      <c r="A1" s="566" t="s">
        <v>108</v>
      </c>
      <c r="B1" s="566"/>
      <c r="C1" s="566"/>
      <c r="D1" s="566"/>
      <c r="E1" s="566"/>
      <c r="F1" s="566"/>
      <c r="G1" s="566"/>
      <c r="H1" s="229"/>
      <c r="I1" s="230"/>
      <c r="J1" s="230"/>
      <c r="K1" s="231"/>
      <c r="L1" s="232"/>
      <c r="M1" s="233"/>
      <c r="N1" s="233"/>
      <c r="O1" s="7"/>
      <c r="P1" s="7"/>
      <c r="Q1" s="7"/>
      <c r="R1" s="7"/>
      <c r="S1" s="7"/>
      <c r="T1" s="7"/>
      <c r="U1" s="121"/>
      <c r="V1" s="62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41"/>
      <c r="AR1" s="41"/>
      <c r="AS1" s="7"/>
      <c r="AT1" s="7"/>
      <c r="AU1" s="7"/>
      <c r="AV1" s="7"/>
      <c r="AW1" s="7"/>
      <c r="AX1" s="7"/>
      <c r="AY1" s="62"/>
      <c r="AZ1" s="121"/>
    </row>
    <row r="2" spans="1:52" s="37" customFormat="1" ht="15" customHeight="1" x14ac:dyDescent="0.3">
      <c r="A2" s="566" t="s">
        <v>372</v>
      </c>
      <c r="B2" s="566"/>
      <c r="C2" s="566"/>
      <c r="D2" s="566"/>
      <c r="E2" s="566"/>
      <c r="F2" s="566"/>
      <c r="G2" s="234"/>
      <c r="H2" s="229"/>
      <c r="I2" s="230"/>
      <c r="J2" s="230"/>
      <c r="K2" s="231"/>
      <c r="L2" s="232"/>
      <c r="M2" s="233"/>
      <c r="N2" s="233"/>
      <c r="O2" s="7"/>
      <c r="P2" s="7"/>
      <c r="Q2" s="7"/>
      <c r="R2" s="7"/>
      <c r="S2" s="7"/>
      <c r="T2" s="7"/>
      <c r="U2" s="121"/>
      <c r="V2" s="62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41"/>
      <c r="AR2" s="41"/>
      <c r="AS2" s="7"/>
      <c r="AT2" s="7"/>
      <c r="AU2" s="7"/>
      <c r="AV2" s="7"/>
      <c r="AW2" s="7"/>
      <c r="AX2" s="7"/>
      <c r="AY2" s="62"/>
      <c r="AZ2" s="121"/>
    </row>
    <row r="3" spans="1:52" s="37" customFormat="1" ht="15" customHeight="1" x14ac:dyDescent="0.3">
      <c r="A3" s="566" t="s">
        <v>395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7"/>
      <c r="P3" s="7"/>
      <c r="Q3" s="7"/>
      <c r="R3" s="7"/>
      <c r="S3" s="7"/>
      <c r="T3" s="7"/>
      <c r="U3" s="121"/>
      <c r="V3" s="71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41"/>
      <c r="AR3" s="41"/>
      <c r="AS3" s="7"/>
      <c r="AT3" s="7"/>
      <c r="AU3" s="7"/>
      <c r="AV3" s="7"/>
      <c r="AW3" s="7"/>
      <c r="AX3" s="7"/>
      <c r="AY3" s="62"/>
      <c r="AZ3" s="121"/>
    </row>
    <row r="4" spans="1:52" ht="15" thickBot="1" x14ac:dyDescent="0.35">
      <c r="A4" s="69" t="s">
        <v>261</v>
      </c>
      <c r="B4" s="36" t="s">
        <v>205</v>
      </c>
      <c r="C4" s="35" t="s">
        <v>130</v>
      </c>
      <c r="D4" s="66" t="s">
        <v>12</v>
      </c>
      <c r="E4" s="67" t="s">
        <v>204</v>
      </c>
      <c r="F4" s="68">
        <v>79801.72</v>
      </c>
      <c r="G4" s="569"/>
      <c r="H4" s="569"/>
      <c r="I4" s="569"/>
      <c r="J4" s="569"/>
      <c r="U4" s="64">
        <v>7850</v>
      </c>
      <c r="V4" s="65">
        <v>7910</v>
      </c>
      <c r="W4" s="65">
        <v>7950</v>
      </c>
      <c r="X4" s="65">
        <v>6730</v>
      </c>
      <c r="Y4" s="65">
        <v>7100</v>
      </c>
      <c r="Z4" s="65">
        <v>5710</v>
      </c>
      <c r="AA4" s="65">
        <v>5130</v>
      </c>
      <c r="AB4" s="65">
        <v>5510</v>
      </c>
      <c r="AC4" s="65">
        <v>7650</v>
      </c>
      <c r="AD4" s="65">
        <v>5750</v>
      </c>
      <c r="AE4" s="65">
        <v>5520</v>
      </c>
      <c r="AF4" s="65">
        <v>7090</v>
      </c>
      <c r="AG4" s="65">
        <v>8570</v>
      </c>
      <c r="AH4" s="65">
        <v>8510</v>
      </c>
      <c r="AI4" s="65">
        <v>8520</v>
      </c>
      <c r="AJ4" s="65">
        <v>8530</v>
      </c>
      <c r="AK4" s="65">
        <v>8590</v>
      </c>
      <c r="AL4" s="65">
        <v>5170</v>
      </c>
      <c r="AM4" s="65">
        <v>6770</v>
      </c>
      <c r="AN4" s="65">
        <v>5540</v>
      </c>
      <c r="AO4" s="65">
        <v>6590</v>
      </c>
      <c r="AP4" s="65">
        <v>6510</v>
      </c>
      <c r="AQ4" s="65">
        <v>5780</v>
      </c>
      <c r="AR4" s="65">
        <v>8540</v>
      </c>
      <c r="AS4" s="65">
        <v>6720</v>
      </c>
      <c r="AT4" s="65">
        <v>5880</v>
      </c>
      <c r="AU4" s="125">
        <v>6550</v>
      </c>
      <c r="AV4" s="125">
        <v>7010</v>
      </c>
      <c r="AW4" s="393">
        <v>5840</v>
      </c>
      <c r="AX4" s="393">
        <v>9999</v>
      </c>
      <c r="AY4" s="125">
        <v>7280</v>
      </c>
      <c r="AZ4" s="64" t="s">
        <v>269</v>
      </c>
    </row>
    <row r="5" spans="1:52" ht="12.75" customHeight="1" x14ac:dyDescent="0.3">
      <c r="A5" s="8">
        <v>1</v>
      </c>
      <c r="B5" s="33" t="s">
        <v>153</v>
      </c>
      <c r="C5" s="30">
        <v>100</v>
      </c>
      <c r="D5" s="29">
        <f t="shared" ref="D5:D30" si="0">SUM(C5*-1)</f>
        <v>-100</v>
      </c>
      <c r="E5" s="34">
        <v>43855</v>
      </c>
      <c r="F5" s="27">
        <f t="shared" ref="F5:F69" si="1">SUM(F4+D5)</f>
        <v>79701.72</v>
      </c>
      <c r="G5" s="76"/>
      <c r="H5" s="77">
        <v>7850</v>
      </c>
      <c r="I5" s="78">
        <f>C5</f>
        <v>100</v>
      </c>
      <c r="J5" s="77"/>
      <c r="K5" s="38"/>
      <c r="L5" s="7"/>
      <c r="U5" s="61">
        <f>SUM(I5)</f>
        <v>100</v>
      </c>
      <c r="V5" s="63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Z5" s="61">
        <f t="shared" ref="AZ5:AZ15" si="2">SUM(U5:AY5)-C5</f>
        <v>0</v>
      </c>
    </row>
    <row r="6" spans="1:52" ht="12.75" customHeight="1" x14ac:dyDescent="0.3">
      <c r="A6" s="8">
        <v>1</v>
      </c>
      <c r="B6" s="32" t="s">
        <v>150</v>
      </c>
      <c r="C6" s="31">
        <v>458.65</v>
      </c>
      <c r="D6" s="29">
        <f t="shared" si="0"/>
        <v>-458.65</v>
      </c>
      <c r="E6" s="28" t="s">
        <v>203</v>
      </c>
      <c r="F6" s="27">
        <f t="shared" si="1"/>
        <v>79243.070000000007</v>
      </c>
      <c r="G6" s="79"/>
      <c r="H6" s="77">
        <v>7910</v>
      </c>
      <c r="I6" s="78">
        <f>C6</f>
        <v>458.65</v>
      </c>
      <c r="J6" s="77"/>
      <c r="K6" s="38"/>
      <c r="L6" s="7"/>
      <c r="U6" s="61"/>
      <c r="V6" s="63">
        <f>SUM(I6)</f>
        <v>458.65</v>
      </c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Z6" s="61">
        <f t="shared" si="2"/>
        <v>0</v>
      </c>
    </row>
    <row r="7" spans="1:52" ht="12.75" customHeight="1" x14ac:dyDescent="0.3">
      <c r="A7" s="8">
        <v>1</v>
      </c>
      <c r="B7" s="32" t="s">
        <v>191</v>
      </c>
      <c r="C7" s="31">
        <v>81.95</v>
      </c>
      <c r="D7" s="29">
        <f t="shared" si="0"/>
        <v>-81.95</v>
      </c>
      <c r="E7" s="28" t="s">
        <v>202</v>
      </c>
      <c r="F7" s="27">
        <f t="shared" si="1"/>
        <v>79161.12000000001</v>
      </c>
      <c r="G7" s="79"/>
      <c r="H7" s="77">
        <v>7950</v>
      </c>
      <c r="I7" s="78">
        <f>C7</f>
        <v>81.95</v>
      </c>
      <c r="J7" s="77"/>
      <c r="K7" s="38"/>
      <c r="L7" s="7"/>
      <c r="U7" s="61"/>
      <c r="V7" s="63"/>
      <c r="W7" s="31">
        <f>SUM(I7)</f>
        <v>81.95</v>
      </c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Z7" s="61">
        <f t="shared" si="2"/>
        <v>0</v>
      </c>
    </row>
    <row r="8" spans="1:52" ht="12.75" customHeight="1" x14ac:dyDescent="0.3">
      <c r="A8" s="8">
        <v>1</v>
      </c>
      <c r="B8" s="32" t="s">
        <v>148</v>
      </c>
      <c r="C8" s="31">
        <v>386.23</v>
      </c>
      <c r="D8" s="29">
        <f t="shared" si="0"/>
        <v>-386.23</v>
      </c>
      <c r="E8" s="28" t="s">
        <v>202</v>
      </c>
      <c r="F8" s="27">
        <f t="shared" si="1"/>
        <v>78774.890000000014</v>
      </c>
      <c r="G8" s="79"/>
      <c r="H8" s="77">
        <v>7950</v>
      </c>
      <c r="I8" s="78">
        <f>C8</f>
        <v>386.23</v>
      </c>
      <c r="J8" s="77"/>
      <c r="K8" s="38"/>
      <c r="L8" s="7"/>
      <c r="U8" s="61"/>
      <c r="V8" s="63"/>
      <c r="W8" s="31">
        <f>SUM(I8)</f>
        <v>386.23</v>
      </c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Z8" s="61">
        <f t="shared" si="2"/>
        <v>0</v>
      </c>
    </row>
    <row r="9" spans="1:52" ht="12.75" customHeight="1" x14ac:dyDescent="0.3">
      <c r="A9" s="8">
        <v>1</v>
      </c>
      <c r="B9" s="32" t="s">
        <v>146</v>
      </c>
      <c r="C9" s="31">
        <v>149.99</v>
      </c>
      <c r="D9" s="29">
        <f t="shared" si="0"/>
        <v>-149.99</v>
      </c>
      <c r="E9" s="28" t="s">
        <v>202</v>
      </c>
      <c r="F9" s="27">
        <f t="shared" si="1"/>
        <v>78624.900000000009</v>
      </c>
      <c r="G9" s="79"/>
      <c r="H9" s="77">
        <v>7950</v>
      </c>
      <c r="I9" s="78">
        <f>C9</f>
        <v>149.99</v>
      </c>
      <c r="J9" s="77"/>
      <c r="K9" s="38"/>
      <c r="L9" s="7"/>
      <c r="S9" s="60"/>
      <c r="U9" s="61"/>
      <c r="V9" s="63"/>
      <c r="W9" s="31">
        <f>SUM(I9)</f>
        <v>149.99</v>
      </c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Z9" s="61">
        <f t="shared" si="2"/>
        <v>0</v>
      </c>
    </row>
    <row r="10" spans="1:52" ht="12.75" customHeight="1" x14ac:dyDescent="0.3">
      <c r="A10" s="8">
        <v>1</v>
      </c>
      <c r="B10" s="32" t="s">
        <v>279</v>
      </c>
      <c r="C10" s="31">
        <f>SUM('TS 2019_2020 Est Travel'!G7)</f>
        <v>330.78</v>
      </c>
      <c r="D10" s="29">
        <f t="shared" si="0"/>
        <v>-330.78</v>
      </c>
      <c r="E10" s="28" t="s">
        <v>280</v>
      </c>
      <c r="F10" s="27">
        <f t="shared" si="1"/>
        <v>78294.12000000001</v>
      </c>
      <c r="G10" s="79"/>
      <c r="H10" s="77"/>
      <c r="I10" s="78"/>
      <c r="J10" s="77"/>
      <c r="K10" s="38"/>
      <c r="L10" s="7"/>
      <c r="S10" s="60"/>
      <c r="U10" s="61"/>
      <c r="V10" s="63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>
        <f>SUM(C10)</f>
        <v>330.78</v>
      </c>
      <c r="AP10" s="31"/>
      <c r="AQ10" s="31"/>
      <c r="AR10" s="31"/>
      <c r="AS10" s="31"/>
      <c r="AZ10" s="61">
        <f t="shared" si="2"/>
        <v>0</v>
      </c>
    </row>
    <row r="11" spans="1:52" ht="12.75" customHeight="1" x14ac:dyDescent="0.3">
      <c r="A11" s="8">
        <v>1</v>
      </c>
      <c r="B11" s="32" t="s">
        <v>144</v>
      </c>
      <c r="C11" s="31">
        <v>300</v>
      </c>
      <c r="D11" s="29">
        <f t="shared" si="0"/>
        <v>-300</v>
      </c>
      <c r="E11" s="28" t="s">
        <v>200</v>
      </c>
      <c r="F11" s="27">
        <f t="shared" si="1"/>
        <v>77994.12000000001</v>
      </c>
      <c r="G11" s="79"/>
      <c r="H11" s="77">
        <v>6730</v>
      </c>
      <c r="I11" s="78">
        <f>C11</f>
        <v>300</v>
      </c>
      <c r="J11" s="77"/>
      <c r="K11" s="38"/>
      <c r="L11" s="7"/>
      <c r="U11" s="61"/>
      <c r="V11" s="63"/>
      <c r="W11" s="31">
        <f>SUM(I11)</f>
        <v>300</v>
      </c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Z11" s="61">
        <f t="shared" si="2"/>
        <v>0</v>
      </c>
    </row>
    <row r="12" spans="1:52" ht="12.75" customHeight="1" x14ac:dyDescent="0.3">
      <c r="A12" s="8">
        <v>1</v>
      </c>
      <c r="B12" s="20" t="s">
        <v>143</v>
      </c>
      <c r="C12" s="31">
        <v>75</v>
      </c>
      <c r="D12" s="29">
        <f t="shared" si="0"/>
        <v>-75</v>
      </c>
      <c r="E12" s="28" t="s">
        <v>200</v>
      </c>
      <c r="F12" s="27">
        <f t="shared" si="1"/>
        <v>77919.12000000001</v>
      </c>
      <c r="G12" s="79"/>
      <c r="H12" s="77">
        <v>7010</v>
      </c>
      <c r="I12" s="78">
        <f>C12</f>
        <v>75</v>
      </c>
      <c r="J12" s="77"/>
      <c r="K12" s="38"/>
      <c r="L12" s="7"/>
      <c r="U12" s="61"/>
      <c r="V12" s="63"/>
      <c r="W12" s="31">
        <f>SUM(I12)</f>
        <v>75</v>
      </c>
      <c r="X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Z12" s="61">
        <f t="shared" si="2"/>
        <v>0</v>
      </c>
    </row>
    <row r="13" spans="1:52" ht="12.75" customHeight="1" x14ac:dyDescent="0.3">
      <c r="A13" s="8">
        <v>1</v>
      </c>
      <c r="B13" s="32" t="s">
        <v>142</v>
      </c>
      <c r="C13" s="31">
        <v>2500</v>
      </c>
      <c r="D13" s="29">
        <f t="shared" si="0"/>
        <v>-2500</v>
      </c>
      <c r="E13" s="28" t="s">
        <v>201</v>
      </c>
      <c r="F13" s="27">
        <f t="shared" si="1"/>
        <v>75419.12000000001</v>
      </c>
      <c r="G13" s="79"/>
      <c r="H13" s="77">
        <v>7950</v>
      </c>
      <c r="I13" s="78">
        <f>C13</f>
        <v>2500</v>
      </c>
      <c r="J13" s="77"/>
      <c r="K13" s="38"/>
      <c r="L13" s="7"/>
      <c r="U13" s="61"/>
      <c r="V13" s="63"/>
      <c r="X13" s="31"/>
      <c r="Y13" s="31"/>
      <c r="Z13" s="31">
        <f>SUM(I13)</f>
        <v>2500</v>
      </c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Z13" s="61">
        <f t="shared" si="2"/>
        <v>0</v>
      </c>
    </row>
    <row r="14" spans="1:52" ht="12.75" customHeight="1" x14ac:dyDescent="0.3">
      <c r="A14" s="8">
        <v>1</v>
      </c>
      <c r="B14" s="32" t="s">
        <v>139</v>
      </c>
      <c r="C14" s="31">
        <v>750</v>
      </c>
      <c r="D14" s="29">
        <f t="shared" si="0"/>
        <v>-750</v>
      </c>
      <c r="E14" s="28" t="s">
        <v>200</v>
      </c>
      <c r="F14" s="27">
        <f t="shared" si="1"/>
        <v>74669.12000000001</v>
      </c>
      <c r="G14" s="79"/>
      <c r="H14" s="77">
        <v>7950</v>
      </c>
      <c r="I14" s="78">
        <f>C14</f>
        <v>750</v>
      </c>
      <c r="J14" s="77"/>
      <c r="K14" s="38"/>
      <c r="L14" s="7"/>
      <c r="U14" s="61"/>
      <c r="V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2"/>
      <c r="AU14" s="62"/>
      <c r="AV14" s="63">
        <f>SUM(I14)</f>
        <v>750</v>
      </c>
      <c r="AW14" s="63"/>
      <c r="AX14" s="63"/>
      <c r="AZ14" s="61">
        <f t="shared" si="2"/>
        <v>0</v>
      </c>
    </row>
    <row r="15" spans="1:52" ht="12.75" customHeight="1" x14ac:dyDescent="0.3">
      <c r="A15" s="8">
        <v>1</v>
      </c>
      <c r="B15" s="32" t="s">
        <v>279</v>
      </c>
      <c r="C15" s="31">
        <f>SUM('TS 2019_2020 Est Travel'!F36:F37)</f>
        <v>1967.22</v>
      </c>
      <c r="D15" s="29">
        <f t="shared" si="0"/>
        <v>-1967.22</v>
      </c>
      <c r="E15" s="28" t="s">
        <v>290</v>
      </c>
      <c r="F15" s="27">
        <f t="shared" si="1"/>
        <v>72701.900000000009</v>
      </c>
      <c r="G15" s="79"/>
      <c r="H15" s="77"/>
      <c r="I15" s="78"/>
      <c r="J15" s="77"/>
      <c r="K15" s="38"/>
      <c r="L15" s="7"/>
      <c r="U15" s="61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2"/>
      <c r="AU15" s="63">
        <f>SUM(C15)</f>
        <v>1967.22</v>
      </c>
      <c r="AV15" s="63"/>
      <c r="AW15" s="63"/>
      <c r="AX15" s="63"/>
      <c r="AZ15" s="61">
        <f t="shared" si="2"/>
        <v>0</v>
      </c>
    </row>
    <row r="16" spans="1:52" ht="12.75" customHeight="1" thickBot="1" x14ac:dyDescent="0.35">
      <c r="A16" s="8">
        <v>1</v>
      </c>
      <c r="B16" s="32" t="s">
        <v>279</v>
      </c>
      <c r="C16" s="31">
        <f>SUM('TS 2019_2020 Est Travel'!G10+'TS 2019_2020 Est Travel'!G13)</f>
        <v>1146</v>
      </c>
      <c r="D16" s="29">
        <f t="shared" si="0"/>
        <v>-1146</v>
      </c>
      <c r="E16" s="28" t="s">
        <v>281</v>
      </c>
      <c r="F16" s="27">
        <f t="shared" si="1"/>
        <v>71555.900000000009</v>
      </c>
      <c r="G16" s="77"/>
      <c r="H16" s="77"/>
      <c r="I16" s="79"/>
      <c r="J16" s="77"/>
      <c r="K16" s="38"/>
      <c r="L16" s="7"/>
      <c r="U16" s="100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>
        <f>SUM(C16)</f>
        <v>1146</v>
      </c>
      <c r="AT16" s="73"/>
      <c r="AU16" s="73"/>
      <c r="AV16" s="73"/>
      <c r="AW16" s="73"/>
      <c r="AX16" s="73"/>
      <c r="AY16" s="73"/>
      <c r="AZ16" s="100"/>
    </row>
    <row r="17" spans="1:52" ht="12.75" customHeight="1" x14ac:dyDescent="0.3">
      <c r="B17" s="32"/>
      <c r="C17" s="31"/>
      <c r="D17" s="29"/>
      <c r="E17" s="115" t="s">
        <v>282</v>
      </c>
      <c r="F17" s="27">
        <f t="shared" si="1"/>
        <v>71555.900000000009</v>
      </c>
      <c r="G17" s="77"/>
      <c r="H17" s="77"/>
      <c r="I17" s="79"/>
      <c r="J17" s="77"/>
      <c r="K17" s="38"/>
      <c r="L17" s="7"/>
      <c r="U17" s="107">
        <f t="shared" ref="U17:AY17" si="3">SUM(U5:U16)</f>
        <v>100</v>
      </c>
      <c r="V17" s="108">
        <f t="shared" si="3"/>
        <v>458.65</v>
      </c>
      <c r="W17" s="108">
        <f t="shared" si="3"/>
        <v>993.17000000000007</v>
      </c>
      <c r="X17" s="108">
        <f t="shared" si="3"/>
        <v>0</v>
      </c>
      <c r="Y17" s="108">
        <f t="shared" si="3"/>
        <v>0</v>
      </c>
      <c r="Z17" s="108">
        <f t="shared" si="3"/>
        <v>2500</v>
      </c>
      <c r="AA17" s="108">
        <f t="shared" si="3"/>
        <v>0</v>
      </c>
      <c r="AB17" s="108">
        <f t="shared" si="3"/>
        <v>0</v>
      </c>
      <c r="AC17" s="108">
        <f t="shared" si="3"/>
        <v>0</v>
      </c>
      <c r="AD17" s="108">
        <f t="shared" si="3"/>
        <v>0</v>
      </c>
      <c r="AE17" s="108">
        <f t="shared" si="3"/>
        <v>0</v>
      </c>
      <c r="AF17" s="108">
        <f t="shared" si="3"/>
        <v>0</v>
      </c>
      <c r="AG17" s="108">
        <f t="shared" si="3"/>
        <v>0</v>
      </c>
      <c r="AH17" s="108">
        <f t="shared" si="3"/>
        <v>0</v>
      </c>
      <c r="AI17" s="108">
        <f t="shared" si="3"/>
        <v>0</v>
      </c>
      <c r="AJ17" s="108">
        <f t="shared" si="3"/>
        <v>0</v>
      </c>
      <c r="AK17" s="108">
        <f t="shared" si="3"/>
        <v>0</v>
      </c>
      <c r="AL17" s="108">
        <f t="shared" si="3"/>
        <v>0</v>
      </c>
      <c r="AM17" s="108">
        <f t="shared" si="3"/>
        <v>0</v>
      </c>
      <c r="AN17" s="108">
        <f t="shared" si="3"/>
        <v>0</v>
      </c>
      <c r="AO17" s="108">
        <f t="shared" si="3"/>
        <v>330.78</v>
      </c>
      <c r="AP17" s="108">
        <f t="shared" si="3"/>
        <v>0</v>
      </c>
      <c r="AQ17" s="108">
        <f t="shared" si="3"/>
        <v>0</v>
      </c>
      <c r="AR17" s="108">
        <f t="shared" si="3"/>
        <v>0</v>
      </c>
      <c r="AS17" s="108">
        <f t="shared" si="3"/>
        <v>1146</v>
      </c>
      <c r="AT17" s="108">
        <f t="shared" si="3"/>
        <v>0</v>
      </c>
      <c r="AU17" s="108">
        <f t="shared" si="3"/>
        <v>1967.22</v>
      </c>
      <c r="AV17" s="108">
        <f t="shared" si="3"/>
        <v>750</v>
      </c>
      <c r="AW17" s="108">
        <f t="shared" si="3"/>
        <v>0</v>
      </c>
      <c r="AX17" s="108">
        <f t="shared" si="3"/>
        <v>0</v>
      </c>
      <c r="AY17" s="108">
        <f t="shared" si="3"/>
        <v>0</v>
      </c>
      <c r="AZ17" s="106"/>
    </row>
    <row r="18" spans="1:52" ht="12.75" customHeight="1" x14ac:dyDescent="0.3">
      <c r="A18" s="403">
        <v>2</v>
      </c>
      <c r="B18" s="398" t="s">
        <v>388</v>
      </c>
      <c r="C18" s="399">
        <f>SUM('BB Example 2 _ Cash Flows'!C51)</f>
        <v>5000</v>
      </c>
      <c r="D18" s="400">
        <f t="shared" ref="D18" si="4">SUM(C18*-1)</f>
        <v>-5000</v>
      </c>
      <c r="E18" s="401" t="s">
        <v>390</v>
      </c>
      <c r="F18" s="412">
        <f t="shared" si="1"/>
        <v>66555.900000000009</v>
      </c>
      <c r="G18" s="77"/>
      <c r="H18" s="77"/>
      <c r="I18" s="79"/>
      <c r="J18" s="77"/>
      <c r="K18" s="38"/>
      <c r="L18" s="7"/>
      <c r="U18" s="61"/>
      <c r="V18" s="63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X18" s="31">
        <f>SUM(C18)</f>
        <v>5000</v>
      </c>
      <c r="AZ18" s="61">
        <f t="shared" ref="AZ18:AZ50" si="5">SUM(U18:AY18)-C18</f>
        <v>0</v>
      </c>
    </row>
    <row r="19" spans="1:52" ht="12.75" customHeight="1" x14ac:dyDescent="0.3">
      <c r="A19" s="8">
        <v>2</v>
      </c>
      <c r="B19" s="32" t="s">
        <v>199</v>
      </c>
      <c r="C19" s="31">
        <v>6000</v>
      </c>
      <c r="D19" s="29">
        <f t="shared" si="0"/>
        <v>-6000</v>
      </c>
      <c r="E19" s="28" t="s">
        <v>195</v>
      </c>
      <c r="F19" s="27">
        <f t="shared" si="1"/>
        <v>60555.900000000009</v>
      </c>
      <c r="G19" s="77"/>
      <c r="H19" s="77">
        <v>5130</v>
      </c>
      <c r="I19" s="79">
        <f>SUM(C19)</f>
        <v>6000</v>
      </c>
      <c r="J19" s="77"/>
      <c r="K19" s="38"/>
      <c r="L19" s="7"/>
      <c r="U19" s="61"/>
      <c r="V19" s="63"/>
      <c r="W19" s="31"/>
      <c r="X19" s="31"/>
      <c r="Y19" s="31"/>
      <c r="Z19" s="31"/>
      <c r="AA19" s="31">
        <f>SUM(I19)</f>
        <v>6000</v>
      </c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Z19" s="61">
        <f t="shared" si="5"/>
        <v>0</v>
      </c>
    </row>
    <row r="20" spans="1:52" ht="12.75" customHeight="1" x14ac:dyDescent="0.3">
      <c r="A20" s="8">
        <v>2</v>
      </c>
      <c r="B20" s="32" t="s">
        <v>177</v>
      </c>
      <c r="C20" s="31">
        <v>2000</v>
      </c>
      <c r="D20" s="29">
        <f t="shared" si="0"/>
        <v>-2000</v>
      </c>
      <c r="E20" s="28">
        <v>43862</v>
      </c>
      <c r="F20" s="27">
        <f t="shared" si="1"/>
        <v>58555.900000000009</v>
      </c>
      <c r="G20" s="77"/>
      <c r="H20" s="77"/>
      <c r="I20" s="77"/>
      <c r="J20" s="77"/>
      <c r="K20" s="38"/>
      <c r="L20" s="7"/>
      <c r="U20" s="61"/>
      <c r="V20" s="63">
        <v>250</v>
      </c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Y20" s="63">
        <v>1750</v>
      </c>
      <c r="AZ20" s="61">
        <f t="shared" si="5"/>
        <v>0</v>
      </c>
    </row>
    <row r="21" spans="1:52" ht="12.75" customHeight="1" x14ac:dyDescent="0.3">
      <c r="A21" s="8">
        <v>2</v>
      </c>
      <c r="B21" s="32" t="s">
        <v>176</v>
      </c>
      <c r="C21" s="31">
        <v>7500</v>
      </c>
      <c r="D21" s="29">
        <f t="shared" si="0"/>
        <v>-7500</v>
      </c>
      <c r="E21" s="28">
        <v>43862</v>
      </c>
      <c r="F21" s="27">
        <f t="shared" si="1"/>
        <v>51055.900000000009</v>
      </c>
      <c r="G21" s="77"/>
      <c r="H21" s="77">
        <v>5510</v>
      </c>
      <c r="I21" s="78">
        <f>C21</f>
        <v>7500</v>
      </c>
      <c r="J21" s="77"/>
      <c r="K21" s="38"/>
      <c r="L21" s="7"/>
      <c r="U21" s="61"/>
      <c r="V21" s="63"/>
      <c r="W21" s="31"/>
      <c r="X21" s="31"/>
      <c r="Y21" s="31"/>
      <c r="Z21" s="31"/>
      <c r="AA21" s="31"/>
      <c r="AB21" s="31">
        <f>SUM(I21)</f>
        <v>7500</v>
      </c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Z21" s="61">
        <f t="shared" si="5"/>
        <v>0</v>
      </c>
    </row>
    <row r="22" spans="1:52" s="7" customFormat="1" ht="12.75" customHeight="1" x14ac:dyDescent="0.2">
      <c r="A22" s="8">
        <v>2</v>
      </c>
      <c r="B22" s="32" t="s">
        <v>175</v>
      </c>
      <c r="C22" s="31">
        <v>550</v>
      </c>
      <c r="D22" s="29">
        <f t="shared" si="0"/>
        <v>-550</v>
      </c>
      <c r="E22" s="28">
        <v>43862</v>
      </c>
      <c r="F22" s="27">
        <f t="shared" si="1"/>
        <v>50505.900000000009</v>
      </c>
      <c r="G22" s="77"/>
      <c r="H22" s="77">
        <v>7650</v>
      </c>
      <c r="I22" s="78">
        <f>C22</f>
        <v>550</v>
      </c>
      <c r="J22" s="77"/>
      <c r="K22" s="38"/>
      <c r="U22" s="61"/>
      <c r="V22" s="63"/>
      <c r="W22" s="31"/>
      <c r="X22" s="31"/>
      <c r="Y22" s="31"/>
      <c r="Z22" s="31"/>
      <c r="AA22" s="31"/>
      <c r="AB22" s="31"/>
      <c r="AC22" s="31">
        <f>SUM(I22)</f>
        <v>550</v>
      </c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Y22" s="62"/>
      <c r="AZ22" s="61">
        <f t="shared" si="5"/>
        <v>0</v>
      </c>
    </row>
    <row r="23" spans="1:52" s="7" customFormat="1" ht="12.75" customHeight="1" x14ac:dyDescent="0.2">
      <c r="A23" s="8">
        <v>2</v>
      </c>
      <c r="B23" s="32" t="s">
        <v>174</v>
      </c>
      <c r="C23" s="31">
        <v>1800</v>
      </c>
      <c r="D23" s="29">
        <f t="shared" si="0"/>
        <v>-1800</v>
      </c>
      <c r="E23" s="28" t="s">
        <v>198</v>
      </c>
      <c r="F23" s="27">
        <f t="shared" si="1"/>
        <v>48705.900000000009</v>
      </c>
      <c r="G23" s="77"/>
      <c r="H23" s="77">
        <v>7650</v>
      </c>
      <c r="I23" s="78">
        <f>C23</f>
        <v>1800</v>
      </c>
      <c r="J23" s="77"/>
      <c r="K23" s="38"/>
      <c r="U23" s="61"/>
      <c r="V23" s="63"/>
      <c r="W23" s="31"/>
      <c r="X23" s="31"/>
      <c r="Y23" s="31"/>
      <c r="Z23" s="31"/>
      <c r="AA23" s="31"/>
      <c r="AB23" s="31"/>
      <c r="AC23" s="31">
        <f>SUM(I23)</f>
        <v>1800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Y23" s="62"/>
      <c r="AZ23" s="61">
        <f t="shared" si="5"/>
        <v>0</v>
      </c>
    </row>
    <row r="24" spans="1:52" s="7" customFormat="1" ht="12.75" customHeight="1" x14ac:dyDescent="0.2">
      <c r="A24" s="8">
        <v>2</v>
      </c>
      <c r="B24" s="32" t="s">
        <v>172</v>
      </c>
      <c r="C24" s="31">
        <v>9917</v>
      </c>
      <c r="D24" s="29">
        <f t="shared" si="0"/>
        <v>-9917</v>
      </c>
      <c r="E24" s="28">
        <v>43862</v>
      </c>
      <c r="F24" s="27">
        <f t="shared" si="1"/>
        <v>38788.900000000009</v>
      </c>
      <c r="G24" s="77"/>
      <c r="H24" s="77">
        <v>5750</v>
      </c>
      <c r="I24" s="80">
        <v>1584</v>
      </c>
      <c r="J24" s="77">
        <v>5520</v>
      </c>
      <c r="K24" s="38">
        <v>8333</v>
      </c>
      <c r="U24" s="61"/>
      <c r="V24" s="63"/>
      <c r="W24" s="31"/>
      <c r="X24" s="31"/>
      <c r="Y24" s="31"/>
      <c r="Z24" s="31"/>
      <c r="AA24" s="31"/>
      <c r="AB24" s="31"/>
      <c r="AC24" s="31"/>
      <c r="AD24" s="31">
        <f>SUM(I24)</f>
        <v>1584</v>
      </c>
      <c r="AE24" s="31">
        <f>SUM(K24)</f>
        <v>8333</v>
      </c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Y24" s="62"/>
      <c r="AZ24" s="61">
        <f t="shared" si="5"/>
        <v>0</v>
      </c>
    </row>
    <row r="25" spans="1:52" s="7" customFormat="1" ht="12.75" customHeight="1" x14ac:dyDescent="0.2">
      <c r="A25" s="8">
        <v>2</v>
      </c>
      <c r="B25" s="32" t="s">
        <v>171</v>
      </c>
      <c r="C25" s="31">
        <v>34.950000000000003</v>
      </c>
      <c r="D25" s="29">
        <f t="shared" si="0"/>
        <v>-34.950000000000003</v>
      </c>
      <c r="E25" s="28">
        <v>43862</v>
      </c>
      <c r="F25" s="27">
        <f t="shared" si="1"/>
        <v>38753.950000000012</v>
      </c>
      <c r="G25" s="77"/>
      <c r="H25" s="77">
        <v>7850</v>
      </c>
      <c r="I25" s="78">
        <f>C25</f>
        <v>34.950000000000003</v>
      </c>
      <c r="J25" s="77"/>
      <c r="K25" s="38"/>
      <c r="U25" s="61">
        <f>SUM(I25)</f>
        <v>34.950000000000003</v>
      </c>
      <c r="V25" s="63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Y25" s="62"/>
      <c r="AZ25" s="61">
        <f t="shared" si="5"/>
        <v>0</v>
      </c>
    </row>
    <row r="26" spans="1:52" s="7" customFormat="1" ht="12.75" customHeight="1" x14ac:dyDescent="0.2">
      <c r="A26" s="8">
        <v>2</v>
      </c>
      <c r="B26" s="32" t="s">
        <v>169</v>
      </c>
      <c r="C26" s="31">
        <v>150</v>
      </c>
      <c r="D26" s="29">
        <f t="shared" si="0"/>
        <v>-150</v>
      </c>
      <c r="E26" s="28" t="s">
        <v>197</v>
      </c>
      <c r="F26" s="27">
        <f t="shared" si="1"/>
        <v>38603.950000000012</v>
      </c>
      <c r="G26" s="77"/>
      <c r="H26" s="77">
        <v>7090</v>
      </c>
      <c r="I26" s="78">
        <f>C26</f>
        <v>150</v>
      </c>
      <c r="J26" s="77"/>
      <c r="K26" s="38"/>
      <c r="U26" s="61"/>
      <c r="V26" s="63"/>
      <c r="W26" s="31"/>
      <c r="X26" s="31"/>
      <c r="Y26" s="31"/>
      <c r="Z26" s="31"/>
      <c r="AA26" s="31"/>
      <c r="AB26" s="31"/>
      <c r="AC26" s="31"/>
      <c r="AD26" s="31"/>
      <c r="AE26" s="31"/>
      <c r="AF26" s="31">
        <f>SUM(I26)</f>
        <v>150</v>
      </c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Y26" s="62"/>
      <c r="AZ26" s="61">
        <f t="shared" si="5"/>
        <v>0</v>
      </c>
    </row>
    <row r="27" spans="1:52" s="7" customFormat="1" ht="12.75" customHeight="1" x14ac:dyDescent="0.2">
      <c r="A27" s="8">
        <v>2</v>
      </c>
      <c r="B27" s="32" t="s">
        <v>155</v>
      </c>
      <c r="C27" s="31">
        <v>18100</v>
      </c>
      <c r="D27" s="29">
        <f t="shared" si="0"/>
        <v>-18100</v>
      </c>
      <c r="E27" s="28">
        <v>43866</v>
      </c>
      <c r="F27" s="27">
        <f t="shared" si="1"/>
        <v>20503.950000000012</v>
      </c>
      <c r="G27" s="77"/>
      <c r="H27" s="77">
        <v>8570</v>
      </c>
      <c r="I27" s="80">
        <v>1375</v>
      </c>
      <c r="J27" s="77" t="s">
        <v>207</v>
      </c>
      <c r="K27" s="38" t="s">
        <v>207</v>
      </c>
      <c r="L27" s="7">
        <v>8510</v>
      </c>
      <c r="M27" s="38">
        <v>13600</v>
      </c>
      <c r="N27" s="50">
        <v>8250</v>
      </c>
      <c r="O27" s="38">
        <v>1000</v>
      </c>
      <c r="P27" s="50">
        <v>8530</v>
      </c>
      <c r="Q27" s="123">
        <v>2000</v>
      </c>
      <c r="R27" s="50">
        <v>8590</v>
      </c>
      <c r="S27" s="38">
        <v>125</v>
      </c>
      <c r="T27" s="51">
        <f>SUM(I27+M27+O27+Q27+S27)</f>
        <v>18100</v>
      </c>
      <c r="U27" s="61"/>
      <c r="V27" s="63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>
        <f>SUM(I27)</f>
        <v>1375</v>
      </c>
      <c r="AH27" s="31">
        <f>SUM(M27)</f>
        <v>13600</v>
      </c>
      <c r="AI27" s="31">
        <f>SUM(O27)</f>
        <v>1000</v>
      </c>
      <c r="AJ27" s="31">
        <f>SUM(Q27)</f>
        <v>2000</v>
      </c>
      <c r="AK27" s="31">
        <f>SUM(S27)</f>
        <v>125</v>
      </c>
      <c r="AL27" s="31"/>
      <c r="AM27" s="31"/>
      <c r="AN27" s="31"/>
      <c r="AO27" s="31"/>
      <c r="AP27" s="31"/>
      <c r="AQ27" s="31"/>
      <c r="AR27" s="31"/>
      <c r="AS27" s="31"/>
      <c r="AY27" s="62"/>
      <c r="AZ27" s="61">
        <f t="shared" si="5"/>
        <v>0</v>
      </c>
    </row>
    <row r="28" spans="1:52" s="7" customFormat="1" ht="12.75" customHeight="1" x14ac:dyDescent="0.2">
      <c r="A28" s="8">
        <v>2</v>
      </c>
      <c r="B28" s="32" t="s">
        <v>153</v>
      </c>
      <c r="C28" s="31">
        <v>100</v>
      </c>
      <c r="D28" s="29">
        <f t="shared" si="0"/>
        <v>-100</v>
      </c>
      <c r="E28" s="28">
        <v>43869</v>
      </c>
      <c r="F28" s="27">
        <f t="shared" si="1"/>
        <v>20403.950000000012</v>
      </c>
      <c r="G28" s="77"/>
      <c r="H28" s="77">
        <v>7850</v>
      </c>
      <c r="I28" s="78">
        <f>C28</f>
        <v>100</v>
      </c>
      <c r="J28" s="77"/>
      <c r="K28" s="38"/>
      <c r="U28" s="61">
        <f>SUM(I28)</f>
        <v>100</v>
      </c>
      <c r="V28" s="63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Y28" s="62"/>
      <c r="AZ28" s="61">
        <f t="shared" si="5"/>
        <v>0</v>
      </c>
    </row>
    <row r="29" spans="1:52" s="7" customFormat="1" ht="12.75" customHeight="1" x14ac:dyDescent="0.2">
      <c r="A29" s="8">
        <v>2</v>
      </c>
      <c r="B29" s="32" t="s">
        <v>279</v>
      </c>
      <c r="C29" s="31">
        <f>SUM('TS 2019_2020 Est Travel'!G16+'TS 2019_2020 Est Travel'!G20+'TS 2019_2020 Est Travel'!G23)</f>
        <v>2939.25</v>
      </c>
      <c r="D29" s="29">
        <f t="shared" si="0"/>
        <v>-2939.25</v>
      </c>
      <c r="E29" s="28" t="s">
        <v>292</v>
      </c>
      <c r="F29" s="27">
        <f t="shared" si="1"/>
        <v>17464.700000000012</v>
      </c>
      <c r="G29" s="77"/>
      <c r="H29" s="77"/>
      <c r="I29" s="78"/>
      <c r="J29" s="77"/>
      <c r="K29" s="38"/>
      <c r="U29" s="61"/>
      <c r="V29" s="63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U29" s="31">
        <f>SUM(C29)</f>
        <v>2939.25</v>
      </c>
      <c r="AV29" s="31"/>
      <c r="AW29" s="31"/>
      <c r="AX29" s="31"/>
      <c r="AY29" s="62"/>
      <c r="AZ29" s="61">
        <f t="shared" si="5"/>
        <v>0</v>
      </c>
    </row>
    <row r="30" spans="1:52" s="7" customFormat="1" ht="12.75" customHeight="1" x14ac:dyDescent="0.2">
      <c r="A30" s="8">
        <v>2</v>
      </c>
      <c r="B30" s="32" t="s">
        <v>196</v>
      </c>
      <c r="C30" s="31">
        <v>1500</v>
      </c>
      <c r="D30" s="29">
        <f t="shared" si="0"/>
        <v>-1500</v>
      </c>
      <c r="E30" s="28" t="s">
        <v>195</v>
      </c>
      <c r="F30" s="27">
        <f t="shared" si="1"/>
        <v>15964.700000000012</v>
      </c>
      <c r="G30" s="77"/>
      <c r="H30" s="77">
        <v>5170</v>
      </c>
      <c r="I30" s="79">
        <f>SUM(C30)</f>
        <v>1500</v>
      </c>
      <c r="J30" s="77"/>
      <c r="K30" s="38"/>
      <c r="U30" s="61"/>
      <c r="V30" s="63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>
        <f>SUM(I30)</f>
        <v>1500</v>
      </c>
      <c r="AM30" s="31"/>
      <c r="AN30" s="31"/>
      <c r="AO30" s="31"/>
      <c r="AP30" s="31"/>
      <c r="AQ30" s="31"/>
      <c r="AR30" s="31"/>
      <c r="AS30" s="31"/>
      <c r="AY30" s="62"/>
      <c r="AZ30" s="61">
        <f t="shared" si="5"/>
        <v>0</v>
      </c>
    </row>
    <row r="31" spans="1:52" s="7" customFormat="1" ht="12.75" customHeight="1" x14ac:dyDescent="0.2">
      <c r="A31" s="142">
        <v>2</v>
      </c>
      <c r="B31" s="148" t="s">
        <v>262</v>
      </c>
      <c r="C31" s="148"/>
      <c r="D31" s="145">
        <v>85000</v>
      </c>
      <c r="E31" s="146" t="s">
        <v>194</v>
      </c>
      <c r="F31" s="147">
        <f t="shared" si="1"/>
        <v>100964.70000000001</v>
      </c>
      <c r="G31" s="81"/>
      <c r="H31" s="77" t="s">
        <v>207</v>
      </c>
      <c r="I31" s="77" t="s">
        <v>207</v>
      </c>
      <c r="J31" s="77"/>
      <c r="K31" s="38"/>
      <c r="U31" s="61"/>
      <c r="V31" s="63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Y31" s="62"/>
      <c r="AZ31" s="61">
        <f t="shared" si="5"/>
        <v>0</v>
      </c>
    </row>
    <row r="32" spans="1:52" s="7" customFormat="1" ht="12.75" customHeight="1" x14ac:dyDescent="0.2">
      <c r="A32" s="8">
        <v>2</v>
      </c>
      <c r="B32" s="32" t="s">
        <v>162</v>
      </c>
      <c r="C32" s="31">
        <v>60</v>
      </c>
      <c r="D32" s="29">
        <f t="shared" ref="D32:D62" si="6">SUM(C32*-1)</f>
        <v>-60</v>
      </c>
      <c r="E32" s="28">
        <v>43876</v>
      </c>
      <c r="F32" s="27">
        <f t="shared" si="1"/>
        <v>100904.70000000001</v>
      </c>
      <c r="G32" s="77"/>
      <c r="H32" s="77">
        <v>7850</v>
      </c>
      <c r="I32" s="78">
        <f>C32</f>
        <v>60</v>
      </c>
      <c r="J32" s="77"/>
      <c r="K32" s="38"/>
      <c r="U32" s="61">
        <f>SUM(I32)</f>
        <v>60</v>
      </c>
      <c r="V32" s="63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Y32" s="62"/>
      <c r="AZ32" s="61">
        <f t="shared" si="5"/>
        <v>0</v>
      </c>
    </row>
    <row r="33" spans="1:52" s="7" customFormat="1" ht="12.75" customHeight="1" x14ac:dyDescent="0.2">
      <c r="A33" s="8">
        <v>2</v>
      </c>
      <c r="B33" s="32" t="s">
        <v>165</v>
      </c>
      <c r="C33" s="31">
        <v>200</v>
      </c>
      <c r="D33" s="29">
        <f t="shared" si="6"/>
        <v>-200</v>
      </c>
      <c r="E33" s="28">
        <v>43876</v>
      </c>
      <c r="F33" s="27">
        <f t="shared" si="1"/>
        <v>100704.70000000001</v>
      </c>
      <c r="G33" s="77"/>
      <c r="H33" s="77">
        <v>6770</v>
      </c>
      <c r="I33" s="78">
        <f>C33</f>
        <v>200</v>
      </c>
      <c r="J33" s="77"/>
      <c r="K33" s="38"/>
      <c r="U33" s="61"/>
      <c r="V33" s="63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>
        <f>SUM(I33)</f>
        <v>200</v>
      </c>
      <c r="AN33" s="31"/>
      <c r="AO33" s="31"/>
      <c r="AP33" s="31"/>
      <c r="AQ33" s="31"/>
      <c r="AR33" s="31"/>
      <c r="AS33" s="31"/>
      <c r="AY33" s="62"/>
      <c r="AZ33" s="61">
        <f t="shared" si="5"/>
        <v>0</v>
      </c>
    </row>
    <row r="34" spans="1:52" s="7" customFormat="1" ht="12.75" customHeight="1" x14ac:dyDescent="0.2">
      <c r="A34" s="8">
        <v>2</v>
      </c>
      <c r="B34" s="20" t="s">
        <v>164</v>
      </c>
      <c r="C34" s="31">
        <v>625</v>
      </c>
      <c r="D34" s="29">
        <f t="shared" si="6"/>
        <v>-625</v>
      </c>
      <c r="E34" s="28" t="s">
        <v>193</v>
      </c>
      <c r="F34" s="27">
        <f t="shared" si="1"/>
        <v>100079.70000000001</v>
      </c>
      <c r="G34" s="77"/>
      <c r="H34" s="77">
        <v>5540</v>
      </c>
      <c r="I34" s="78">
        <f>C34</f>
        <v>625</v>
      </c>
      <c r="J34" s="77"/>
      <c r="K34" s="38"/>
      <c r="U34" s="61"/>
      <c r="V34" s="63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>
        <f>SUM(I34)</f>
        <v>625</v>
      </c>
      <c r="AO34" s="31"/>
      <c r="AP34" s="31"/>
      <c r="AQ34" s="31"/>
      <c r="AR34" s="31"/>
      <c r="AS34" s="31"/>
      <c r="AY34" s="62"/>
      <c r="AZ34" s="61">
        <f t="shared" si="5"/>
        <v>0</v>
      </c>
    </row>
    <row r="35" spans="1:52" s="7" customFormat="1" ht="12.75" customHeight="1" x14ac:dyDescent="0.2">
      <c r="A35" s="8">
        <v>2</v>
      </c>
      <c r="B35" s="32" t="s">
        <v>279</v>
      </c>
      <c r="C35" s="31">
        <f>SUM('TS 2019_2020 Est Travel'!G18+'TS 2019_2020 Est Travel'!G26+'TS 2019_2020 Est Travel'!G29+'TS 2019_2020 Est Travel'!G33)</f>
        <v>2804.6800000000003</v>
      </c>
      <c r="D35" s="29">
        <f t="shared" si="6"/>
        <v>-2804.6800000000003</v>
      </c>
      <c r="E35" s="28" t="s">
        <v>293</v>
      </c>
      <c r="F35" s="27">
        <f t="shared" si="1"/>
        <v>97275.020000000019</v>
      </c>
      <c r="G35" s="77"/>
      <c r="H35" s="77"/>
      <c r="I35" s="78"/>
      <c r="J35" s="77"/>
      <c r="K35" s="38"/>
      <c r="U35" s="61"/>
      <c r="V35" s="63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>
        <f>SUM(C35)</f>
        <v>2804.6800000000003</v>
      </c>
      <c r="AY35" s="62"/>
      <c r="AZ35" s="61">
        <f t="shared" si="5"/>
        <v>0</v>
      </c>
    </row>
    <row r="36" spans="1:52" s="7" customFormat="1" ht="12.75" customHeight="1" x14ac:dyDescent="0.2">
      <c r="A36" s="8">
        <v>2</v>
      </c>
      <c r="B36" s="20" t="s">
        <v>160</v>
      </c>
      <c r="C36" s="31">
        <v>1833.35</v>
      </c>
      <c r="D36" s="29">
        <f t="shared" si="6"/>
        <v>-1833.35</v>
      </c>
      <c r="E36" s="28">
        <v>43877</v>
      </c>
      <c r="F36" s="27">
        <f t="shared" si="1"/>
        <v>95441.670000000013</v>
      </c>
      <c r="G36" s="77"/>
      <c r="H36" s="77">
        <v>6590</v>
      </c>
      <c r="I36" s="78">
        <f>C36</f>
        <v>1833.35</v>
      </c>
      <c r="J36" s="77"/>
      <c r="K36" s="38"/>
      <c r="U36" s="61"/>
      <c r="V36" s="63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P36" s="31">
        <f>SUM(I36)</f>
        <v>1833.35</v>
      </c>
      <c r="AQ36" s="31"/>
      <c r="AR36" s="31"/>
      <c r="AS36" s="31"/>
      <c r="AY36" s="62"/>
      <c r="AZ36" s="61">
        <f t="shared" si="5"/>
        <v>0</v>
      </c>
    </row>
    <row r="37" spans="1:52" s="7" customFormat="1" ht="12.75" customHeight="1" x14ac:dyDescent="0.2">
      <c r="A37" s="8">
        <v>2</v>
      </c>
      <c r="B37" s="32" t="s">
        <v>155</v>
      </c>
      <c r="C37" s="31">
        <f>SUM(C27)</f>
        <v>18100</v>
      </c>
      <c r="D37" s="29">
        <f t="shared" si="6"/>
        <v>-18100</v>
      </c>
      <c r="E37" s="28">
        <v>43881</v>
      </c>
      <c r="F37" s="27">
        <f t="shared" si="1"/>
        <v>77341.670000000013</v>
      </c>
      <c r="G37" s="77"/>
      <c r="H37" s="77">
        <v>8570</v>
      </c>
      <c r="I37" s="80">
        <v>1375</v>
      </c>
      <c r="J37" s="77" t="s">
        <v>207</v>
      </c>
      <c r="K37" s="38" t="s">
        <v>207</v>
      </c>
      <c r="L37" s="7">
        <v>8510</v>
      </c>
      <c r="M37" s="38">
        <v>13600</v>
      </c>
      <c r="N37" s="50">
        <v>8250</v>
      </c>
      <c r="O37" s="38">
        <v>1000</v>
      </c>
      <c r="P37" s="50">
        <v>8530</v>
      </c>
      <c r="Q37" s="123">
        <v>2000</v>
      </c>
      <c r="R37" s="50">
        <v>8590</v>
      </c>
      <c r="S37" s="38">
        <v>125</v>
      </c>
      <c r="T37" s="51">
        <f>SUM(I37+M37+O37+Q37+S37)</f>
        <v>18100</v>
      </c>
      <c r="U37" s="61"/>
      <c r="V37" s="63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>
        <f>SUM(I37)</f>
        <v>1375</v>
      </c>
      <c r="AH37" s="31">
        <f>SUM(M37)</f>
        <v>13600</v>
      </c>
      <c r="AI37" s="31">
        <f>SUM(O37)</f>
        <v>1000</v>
      </c>
      <c r="AJ37" s="31">
        <f>SUM(Q37)</f>
        <v>2000</v>
      </c>
      <c r="AK37" s="31">
        <f>SUM(S37)</f>
        <v>125</v>
      </c>
      <c r="AL37" s="31"/>
      <c r="AM37" s="31"/>
      <c r="AN37" s="31"/>
      <c r="AO37" s="31"/>
      <c r="AP37" s="31"/>
      <c r="AQ37" s="31"/>
      <c r="AR37" s="31"/>
      <c r="AS37" s="31"/>
      <c r="AY37" s="62"/>
      <c r="AZ37" s="61">
        <f t="shared" si="5"/>
        <v>0</v>
      </c>
    </row>
    <row r="38" spans="1:52" s="7" customFormat="1" ht="12.75" customHeight="1" x14ac:dyDescent="0.2">
      <c r="A38" s="8">
        <v>2</v>
      </c>
      <c r="B38" s="32" t="s">
        <v>153</v>
      </c>
      <c r="C38" s="31">
        <v>100</v>
      </c>
      <c r="D38" s="29">
        <f t="shared" si="6"/>
        <v>-100</v>
      </c>
      <c r="E38" s="28">
        <v>43883</v>
      </c>
      <c r="F38" s="27">
        <f t="shared" si="1"/>
        <v>77241.670000000013</v>
      </c>
      <c r="G38" s="77"/>
      <c r="H38" s="77">
        <v>7850</v>
      </c>
      <c r="I38" s="78">
        <f>C38</f>
        <v>100</v>
      </c>
      <c r="J38" s="77"/>
      <c r="K38" s="38"/>
      <c r="U38" s="61">
        <f>SUM(I38)</f>
        <v>100</v>
      </c>
      <c r="V38" s="63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Y38" s="62"/>
      <c r="AZ38" s="61">
        <f t="shared" si="5"/>
        <v>0</v>
      </c>
    </row>
    <row r="39" spans="1:52" s="7" customFormat="1" ht="12.75" customHeight="1" x14ac:dyDescent="0.2">
      <c r="A39" s="8">
        <v>2</v>
      </c>
      <c r="B39" s="20" t="s">
        <v>266</v>
      </c>
      <c r="C39" s="31">
        <f>SUM('CCD - Mnthly Bills'!C20)</f>
        <v>1523.3625000000002</v>
      </c>
      <c r="D39" s="29">
        <f t="shared" si="6"/>
        <v>-1523.3625000000002</v>
      </c>
      <c r="E39" s="28" t="s">
        <v>265</v>
      </c>
      <c r="F39" s="27">
        <f t="shared" si="1"/>
        <v>75718.30750000001</v>
      </c>
      <c r="G39" s="77"/>
      <c r="H39" s="570" t="s">
        <v>264</v>
      </c>
      <c r="I39" s="570"/>
      <c r="J39" s="77"/>
      <c r="K39" s="38"/>
      <c r="U39" s="61"/>
      <c r="V39" s="63"/>
      <c r="W39" s="31">
        <f>SUM('CCD - Mnthly Bills'!H20)</f>
        <v>104.73750000000001</v>
      </c>
      <c r="X39" s="31"/>
      <c r="Y39" s="31">
        <f>SUM('CCD - Mnthly Bills'!F20)</f>
        <v>778.6875</v>
      </c>
      <c r="Z39" s="31"/>
      <c r="AA39" s="31">
        <f>SUM('CCD - Mnthly Bills'!K20)</f>
        <v>375</v>
      </c>
      <c r="AB39" s="31"/>
      <c r="AC39" s="31"/>
      <c r="AD39" s="31">
        <f>SUM('CCD - Mnthly Bills'!J20)</f>
        <v>90</v>
      </c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>
        <f>SUM('CCD - Mnthly Bills'!G20)</f>
        <v>111.1875</v>
      </c>
      <c r="AR39" s="31">
        <f>SUM('CCD - Mnthly Bills'!I20)</f>
        <v>63.75</v>
      </c>
      <c r="AS39" s="31"/>
      <c r="AY39" s="62"/>
      <c r="AZ39" s="61">
        <f t="shared" si="5"/>
        <v>0</v>
      </c>
    </row>
    <row r="40" spans="1:52" s="7" customFormat="1" ht="12.75" customHeight="1" x14ac:dyDescent="0.2">
      <c r="A40" s="8">
        <v>2</v>
      </c>
      <c r="B40" s="20" t="s">
        <v>288</v>
      </c>
      <c r="C40" s="31">
        <v>17000</v>
      </c>
      <c r="D40" s="29">
        <f>SUM(C40*-1)</f>
        <v>-17000</v>
      </c>
      <c r="E40" s="28" t="s">
        <v>289</v>
      </c>
      <c r="F40" s="27">
        <f t="shared" si="1"/>
        <v>58718.30750000001</v>
      </c>
      <c r="G40" s="77"/>
      <c r="H40" s="96"/>
      <c r="I40" s="96"/>
      <c r="J40" s="77"/>
      <c r="K40" s="38"/>
      <c r="U40" s="61"/>
      <c r="V40" s="63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>
        <v>16500</v>
      </c>
      <c r="AU40" s="38">
        <v>500</v>
      </c>
      <c r="AV40" s="38"/>
      <c r="AW40" s="38"/>
      <c r="AX40" s="38"/>
      <c r="AY40" s="62"/>
      <c r="AZ40" s="61">
        <f t="shared" si="5"/>
        <v>0</v>
      </c>
    </row>
    <row r="41" spans="1:52" ht="12.75" customHeight="1" x14ac:dyDescent="0.3">
      <c r="A41" s="8">
        <v>2</v>
      </c>
      <c r="B41" s="32" t="s">
        <v>150</v>
      </c>
      <c r="C41" s="31">
        <v>458.65</v>
      </c>
      <c r="D41" s="29">
        <f t="shared" si="6"/>
        <v>-458.65</v>
      </c>
      <c r="E41" s="28" t="s">
        <v>192</v>
      </c>
      <c r="F41" s="27">
        <f t="shared" si="1"/>
        <v>58259.657500000008</v>
      </c>
      <c r="G41" s="77"/>
      <c r="H41" s="77">
        <v>7910</v>
      </c>
      <c r="I41" s="78">
        <f t="shared" ref="I41:I50" si="7">C41</f>
        <v>458.65</v>
      </c>
      <c r="J41" s="77"/>
      <c r="K41" s="38"/>
      <c r="L41" s="7"/>
      <c r="U41" s="61"/>
      <c r="V41" s="63">
        <f>SUM(I41)</f>
        <v>458.65</v>
      </c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Z41" s="61">
        <f t="shared" si="5"/>
        <v>0</v>
      </c>
    </row>
    <row r="42" spans="1:52" ht="12.75" customHeight="1" x14ac:dyDescent="0.3">
      <c r="A42" s="8">
        <v>2</v>
      </c>
      <c r="B42" s="32" t="s">
        <v>191</v>
      </c>
      <c r="C42" s="31">
        <v>44.94</v>
      </c>
      <c r="D42" s="29">
        <f t="shared" si="6"/>
        <v>-44.94</v>
      </c>
      <c r="E42" s="28" t="s">
        <v>190</v>
      </c>
      <c r="F42" s="27">
        <f t="shared" si="1"/>
        <v>58214.717500000006</v>
      </c>
      <c r="G42" s="77"/>
      <c r="H42" s="77">
        <v>7950</v>
      </c>
      <c r="I42" s="78">
        <f t="shared" si="7"/>
        <v>44.94</v>
      </c>
      <c r="J42" s="77"/>
      <c r="K42" s="38"/>
      <c r="L42" s="7"/>
      <c r="U42" s="61"/>
      <c r="V42" s="63"/>
      <c r="W42" s="31">
        <f>SUM(I42)</f>
        <v>44.94</v>
      </c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Z42" s="61">
        <f t="shared" si="5"/>
        <v>0</v>
      </c>
    </row>
    <row r="43" spans="1:52" ht="12.75" customHeight="1" x14ac:dyDescent="0.3">
      <c r="A43" s="8">
        <v>2</v>
      </c>
      <c r="B43" s="32" t="s">
        <v>148</v>
      </c>
      <c r="C43" s="31">
        <v>386.23</v>
      </c>
      <c r="D43" s="29">
        <f t="shared" si="6"/>
        <v>-386.23</v>
      </c>
      <c r="E43" s="28" t="s">
        <v>189</v>
      </c>
      <c r="F43" s="27">
        <f t="shared" si="1"/>
        <v>57828.487500000003</v>
      </c>
      <c r="G43" s="77"/>
      <c r="H43" s="77">
        <v>7950</v>
      </c>
      <c r="I43" s="78">
        <f t="shared" si="7"/>
        <v>386.23</v>
      </c>
      <c r="J43" s="77"/>
      <c r="K43" s="38"/>
      <c r="L43" s="7"/>
      <c r="U43" s="61"/>
      <c r="V43" s="63"/>
      <c r="W43" s="31">
        <f>SUM(I43)</f>
        <v>386.23</v>
      </c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Z43" s="61">
        <f t="shared" si="5"/>
        <v>0</v>
      </c>
    </row>
    <row r="44" spans="1:52" ht="12.75" customHeight="1" x14ac:dyDescent="0.3">
      <c r="A44" s="8">
        <v>2</v>
      </c>
      <c r="B44" s="32" t="s">
        <v>146</v>
      </c>
      <c r="C44" s="31">
        <v>149.99</v>
      </c>
      <c r="D44" s="29">
        <f t="shared" si="6"/>
        <v>-149.99</v>
      </c>
      <c r="E44" s="28">
        <v>43889</v>
      </c>
      <c r="F44" s="27">
        <f t="shared" si="1"/>
        <v>57678.497500000005</v>
      </c>
      <c r="G44" s="77"/>
      <c r="H44" s="77">
        <v>7950</v>
      </c>
      <c r="I44" s="78">
        <f t="shared" si="7"/>
        <v>149.99</v>
      </c>
      <c r="J44" s="77"/>
      <c r="K44" s="38"/>
      <c r="L44" s="7"/>
      <c r="U44" s="61"/>
      <c r="V44" s="63"/>
      <c r="W44" s="31">
        <f>SUM(I44)</f>
        <v>149.99</v>
      </c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Z44" s="61">
        <f t="shared" si="5"/>
        <v>0</v>
      </c>
    </row>
    <row r="45" spans="1:52" ht="12.75" customHeight="1" x14ac:dyDescent="0.3">
      <c r="A45" s="8">
        <v>2</v>
      </c>
      <c r="B45" s="32" t="s">
        <v>139</v>
      </c>
      <c r="C45" s="31">
        <v>750</v>
      </c>
      <c r="D45" s="29">
        <f t="shared" si="6"/>
        <v>-750</v>
      </c>
      <c r="E45" s="28" t="s">
        <v>188</v>
      </c>
      <c r="F45" s="27">
        <f t="shared" si="1"/>
        <v>56928.497500000005</v>
      </c>
      <c r="G45" s="77"/>
      <c r="H45" s="77">
        <v>7950</v>
      </c>
      <c r="I45" s="78">
        <f t="shared" si="7"/>
        <v>750</v>
      </c>
      <c r="J45" s="77"/>
      <c r="K45" s="38"/>
      <c r="L45" s="7"/>
      <c r="U45" s="61"/>
      <c r="V45" s="63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V45" s="31">
        <f>SUM(I45)</f>
        <v>750</v>
      </c>
      <c r="AW45" s="31"/>
      <c r="AX45" s="31"/>
      <c r="AZ45" s="61">
        <f t="shared" si="5"/>
        <v>0</v>
      </c>
    </row>
    <row r="46" spans="1:52" ht="12.75" customHeight="1" x14ac:dyDescent="0.3">
      <c r="A46" s="8">
        <v>2</v>
      </c>
      <c r="B46" s="32" t="s">
        <v>142</v>
      </c>
      <c r="C46" s="31">
        <v>2500</v>
      </c>
      <c r="D46" s="29">
        <f t="shared" si="6"/>
        <v>-2500</v>
      </c>
      <c r="E46" s="28">
        <v>43890</v>
      </c>
      <c r="F46" s="27">
        <f t="shared" si="1"/>
        <v>54428.497500000005</v>
      </c>
      <c r="G46" s="77"/>
      <c r="H46" s="77">
        <v>7950</v>
      </c>
      <c r="I46" s="78">
        <f t="shared" si="7"/>
        <v>2500</v>
      </c>
      <c r="J46" s="77"/>
      <c r="K46" s="38"/>
      <c r="L46" s="7"/>
      <c r="U46" s="61"/>
      <c r="V46" s="63"/>
      <c r="X46" s="31"/>
      <c r="Y46" s="31"/>
      <c r="Z46" s="31">
        <f>SUM(I46)</f>
        <v>2500</v>
      </c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Z46" s="61">
        <f t="shared" si="5"/>
        <v>0</v>
      </c>
    </row>
    <row r="47" spans="1:52" ht="12.75" customHeight="1" x14ac:dyDescent="0.3">
      <c r="A47" s="8">
        <v>2</v>
      </c>
      <c r="B47" s="32" t="s">
        <v>141</v>
      </c>
      <c r="C47" s="31">
        <v>1080</v>
      </c>
      <c r="D47" s="29">
        <f t="shared" si="6"/>
        <v>-1080</v>
      </c>
      <c r="E47" s="28">
        <v>43890</v>
      </c>
      <c r="F47" s="27">
        <f t="shared" si="1"/>
        <v>53348.497500000005</v>
      </c>
      <c r="G47" s="77"/>
      <c r="H47" s="77">
        <v>5710</v>
      </c>
      <c r="I47" s="78">
        <f t="shared" si="7"/>
        <v>1080</v>
      </c>
      <c r="J47" s="77"/>
      <c r="K47" s="38"/>
      <c r="L47" s="7"/>
      <c r="U47" s="61"/>
      <c r="V47" s="63"/>
      <c r="W47" s="31"/>
      <c r="X47" s="31">
        <f>SUM(I47)</f>
        <v>1080</v>
      </c>
      <c r="Y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Z47" s="61">
        <f t="shared" si="5"/>
        <v>0</v>
      </c>
    </row>
    <row r="48" spans="1:52" ht="12.75" customHeight="1" x14ac:dyDescent="0.3">
      <c r="A48" s="8">
        <v>2</v>
      </c>
      <c r="B48" s="32" t="s">
        <v>144</v>
      </c>
      <c r="C48" s="31">
        <v>300</v>
      </c>
      <c r="D48" s="29">
        <f t="shared" si="6"/>
        <v>-300</v>
      </c>
      <c r="E48" s="28" t="s">
        <v>188</v>
      </c>
      <c r="F48" s="27">
        <f t="shared" si="1"/>
        <v>53048.497500000005</v>
      </c>
      <c r="G48" s="77"/>
      <c r="H48" s="77">
        <v>6730</v>
      </c>
      <c r="I48" s="78">
        <f t="shared" si="7"/>
        <v>300</v>
      </c>
      <c r="J48" s="77"/>
      <c r="K48" s="38"/>
      <c r="L48" s="7"/>
      <c r="U48" s="61"/>
      <c r="V48" s="63"/>
      <c r="W48" s="31">
        <f>SUM(I48)</f>
        <v>300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Z48" s="61">
        <f t="shared" si="5"/>
        <v>0</v>
      </c>
    </row>
    <row r="49" spans="1:52" ht="12.75" customHeight="1" x14ac:dyDescent="0.3">
      <c r="A49" s="8">
        <v>2</v>
      </c>
      <c r="B49" s="20" t="s">
        <v>143</v>
      </c>
      <c r="C49" s="31">
        <v>75</v>
      </c>
      <c r="D49" s="29">
        <f t="shared" si="6"/>
        <v>-75</v>
      </c>
      <c r="E49" s="28" t="s">
        <v>188</v>
      </c>
      <c r="F49" s="27">
        <f t="shared" si="1"/>
        <v>52973.497500000005</v>
      </c>
      <c r="G49" s="77"/>
      <c r="H49" s="77">
        <v>7010</v>
      </c>
      <c r="I49" s="78">
        <f t="shared" si="7"/>
        <v>75</v>
      </c>
      <c r="J49" s="77"/>
      <c r="K49" s="38"/>
      <c r="L49" s="7"/>
      <c r="U49" s="61"/>
      <c r="V49" s="63"/>
      <c r="W49" s="31">
        <f>SUM(I49)</f>
        <v>75</v>
      </c>
      <c r="X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Z49" s="61">
        <f t="shared" si="5"/>
        <v>0</v>
      </c>
    </row>
    <row r="50" spans="1:52" ht="12.75" customHeight="1" thickBot="1" x14ac:dyDescent="0.35">
      <c r="A50" s="215">
        <v>2</v>
      </c>
      <c r="B50" s="216" t="s">
        <v>348</v>
      </c>
      <c r="C50" s="217">
        <v>5000</v>
      </c>
      <c r="D50" s="218">
        <f t="shared" si="6"/>
        <v>-5000</v>
      </c>
      <c r="E50" s="219" t="s">
        <v>189</v>
      </c>
      <c r="F50" s="220">
        <f t="shared" si="1"/>
        <v>47973.497500000005</v>
      </c>
      <c r="G50" s="77"/>
      <c r="H50" s="77">
        <v>5130</v>
      </c>
      <c r="I50" s="78">
        <f t="shared" si="7"/>
        <v>5000</v>
      </c>
      <c r="J50" s="77"/>
      <c r="K50" s="38"/>
      <c r="L50" s="7"/>
      <c r="U50" s="100"/>
      <c r="V50" s="99"/>
      <c r="W50" s="99"/>
      <c r="X50" s="99"/>
      <c r="Y50" s="99"/>
      <c r="Z50" s="99"/>
      <c r="AA50" s="99">
        <f>SUM(I50)</f>
        <v>5000</v>
      </c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73"/>
      <c r="AU50" s="73"/>
      <c r="AV50" s="73"/>
      <c r="AW50" s="73"/>
      <c r="AX50" s="73"/>
      <c r="AY50" s="73"/>
      <c r="AZ50" s="100">
        <f t="shared" si="5"/>
        <v>0</v>
      </c>
    </row>
    <row r="51" spans="1:52" s="105" customFormat="1" ht="12.75" customHeight="1" x14ac:dyDescent="0.3">
      <c r="A51" s="42"/>
      <c r="B51" s="43"/>
      <c r="C51" s="44"/>
      <c r="D51" s="46"/>
      <c r="E51" s="116" t="s">
        <v>283</v>
      </c>
      <c r="F51" s="27">
        <f t="shared" si="1"/>
        <v>47973.497500000005</v>
      </c>
      <c r="G51" s="77"/>
      <c r="H51" s="77"/>
      <c r="I51" s="78"/>
      <c r="J51" s="77"/>
      <c r="K51" s="101"/>
      <c r="L51" s="102"/>
      <c r="M51" s="102"/>
      <c r="N51" s="102"/>
      <c r="O51" s="102"/>
      <c r="P51" s="102"/>
      <c r="Q51" s="102"/>
      <c r="R51" s="102"/>
      <c r="S51" s="102"/>
      <c r="T51" s="102"/>
      <c r="U51" s="109">
        <f>SUM(U18:U50)</f>
        <v>294.95</v>
      </c>
      <c r="V51" s="110">
        <f>SUM(V18:V50)</f>
        <v>708.65</v>
      </c>
      <c r="W51" s="110">
        <f t="shared" ref="W51:AX51" si="8">SUM(W18:W50)</f>
        <v>1060.8975</v>
      </c>
      <c r="X51" s="110">
        <f t="shared" si="8"/>
        <v>1080</v>
      </c>
      <c r="Y51" s="110">
        <f t="shared" si="8"/>
        <v>778.6875</v>
      </c>
      <c r="Z51" s="110">
        <f t="shared" si="8"/>
        <v>2500</v>
      </c>
      <c r="AA51" s="110">
        <f t="shared" si="8"/>
        <v>11375</v>
      </c>
      <c r="AB51" s="110">
        <f t="shared" si="8"/>
        <v>7500</v>
      </c>
      <c r="AC51" s="110">
        <f t="shared" si="8"/>
        <v>2350</v>
      </c>
      <c r="AD51" s="110">
        <f t="shared" si="8"/>
        <v>1674</v>
      </c>
      <c r="AE51" s="110">
        <f t="shared" si="8"/>
        <v>8333</v>
      </c>
      <c r="AF51" s="110">
        <f t="shared" si="8"/>
        <v>150</v>
      </c>
      <c r="AG51" s="110">
        <f t="shared" si="8"/>
        <v>2750</v>
      </c>
      <c r="AH51" s="110">
        <f t="shared" si="8"/>
        <v>27200</v>
      </c>
      <c r="AI51" s="110">
        <f t="shared" si="8"/>
        <v>2000</v>
      </c>
      <c r="AJ51" s="110">
        <f t="shared" si="8"/>
        <v>4000</v>
      </c>
      <c r="AK51" s="110">
        <f t="shared" si="8"/>
        <v>250</v>
      </c>
      <c r="AL51" s="110">
        <f t="shared" si="8"/>
        <v>1500</v>
      </c>
      <c r="AM51" s="110">
        <f t="shared" si="8"/>
        <v>200</v>
      </c>
      <c r="AN51" s="110">
        <f t="shared" si="8"/>
        <v>625</v>
      </c>
      <c r="AO51" s="110">
        <f t="shared" si="8"/>
        <v>0</v>
      </c>
      <c r="AP51" s="110">
        <f t="shared" si="8"/>
        <v>1833.35</v>
      </c>
      <c r="AQ51" s="110">
        <f t="shared" si="8"/>
        <v>111.1875</v>
      </c>
      <c r="AR51" s="110">
        <f t="shared" si="8"/>
        <v>63.75</v>
      </c>
      <c r="AS51" s="110">
        <f t="shared" si="8"/>
        <v>0</v>
      </c>
      <c r="AT51" s="110">
        <f t="shared" si="8"/>
        <v>19304.68</v>
      </c>
      <c r="AU51" s="110">
        <f t="shared" si="8"/>
        <v>3439.25</v>
      </c>
      <c r="AV51" s="110">
        <f t="shared" si="8"/>
        <v>750</v>
      </c>
      <c r="AW51" s="110">
        <f t="shared" si="8"/>
        <v>0</v>
      </c>
      <c r="AX51" s="110">
        <f t="shared" si="8"/>
        <v>5000</v>
      </c>
      <c r="AY51" s="110">
        <f>SUM(AY18:AY50)</f>
        <v>1750</v>
      </c>
      <c r="AZ51" s="103"/>
    </row>
    <row r="52" spans="1:52" s="105" customFormat="1" ht="12.75" customHeight="1" x14ac:dyDescent="0.3">
      <c r="A52" s="403">
        <v>3</v>
      </c>
      <c r="B52" s="398" t="s">
        <v>388</v>
      </c>
      <c r="C52" s="399">
        <f>SUM(C18)</f>
        <v>5000</v>
      </c>
      <c r="D52" s="400">
        <f t="shared" ref="D52" si="9">SUM(C52*-1)</f>
        <v>-5000</v>
      </c>
      <c r="E52" s="401" t="s">
        <v>390</v>
      </c>
      <c r="F52" s="412">
        <f t="shared" si="1"/>
        <v>42973.497500000005</v>
      </c>
      <c r="G52" s="77"/>
      <c r="H52" s="77"/>
      <c r="I52" s="78"/>
      <c r="J52" s="77"/>
      <c r="K52" s="101"/>
      <c r="L52" s="102"/>
      <c r="M52" s="102"/>
      <c r="N52" s="102"/>
      <c r="O52" s="102"/>
      <c r="P52" s="102"/>
      <c r="Q52" s="102"/>
      <c r="R52" s="102"/>
      <c r="S52" s="102"/>
      <c r="T52" s="102"/>
      <c r="U52" s="103"/>
      <c r="V52" s="10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102"/>
      <c r="AU52" s="102"/>
      <c r="AV52" s="102"/>
      <c r="AW52" s="102"/>
      <c r="AX52" s="44">
        <f>SUM(C52)</f>
        <v>5000</v>
      </c>
      <c r="AY52" s="120"/>
      <c r="AZ52" s="61">
        <f>SUM(U52:AY52)-C52</f>
        <v>0</v>
      </c>
    </row>
    <row r="53" spans="1:52" ht="12.75" customHeight="1" x14ac:dyDescent="0.3">
      <c r="A53" s="8">
        <v>3</v>
      </c>
      <c r="B53" s="32" t="s">
        <v>177</v>
      </c>
      <c r="C53" s="31">
        <v>2000</v>
      </c>
      <c r="D53" s="29">
        <f t="shared" si="6"/>
        <v>-2000</v>
      </c>
      <c r="E53" s="28">
        <v>43891</v>
      </c>
      <c r="F53" s="27">
        <f t="shared" si="1"/>
        <v>40973.497500000005</v>
      </c>
      <c r="G53" s="77"/>
      <c r="H53" s="77"/>
      <c r="I53" s="78"/>
      <c r="J53" s="77"/>
      <c r="K53" s="38"/>
      <c r="L53" s="7"/>
      <c r="U53" s="61"/>
      <c r="V53" s="63">
        <v>250</v>
      </c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Y53" s="63">
        <v>1750</v>
      </c>
      <c r="AZ53" s="61">
        <f>SUM(U53:AY53)-C53</f>
        <v>0</v>
      </c>
    </row>
    <row r="54" spans="1:52" ht="12.75" customHeight="1" x14ac:dyDescent="0.3">
      <c r="A54" s="8">
        <v>3</v>
      </c>
      <c r="B54" s="32" t="s">
        <v>176</v>
      </c>
      <c r="C54" s="31">
        <v>7500</v>
      </c>
      <c r="D54" s="29">
        <f t="shared" si="6"/>
        <v>-7500</v>
      </c>
      <c r="E54" s="28">
        <v>43891</v>
      </c>
      <c r="F54" s="27">
        <f t="shared" si="1"/>
        <v>33473.497500000005</v>
      </c>
      <c r="G54" s="77"/>
      <c r="H54" s="77">
        <v>5510</v>
      </c>
      <c r="I54" s="78">
        <f>C54</f>
        <v>7500</v>
      </c>
      <c r="J54" s="77"/>
      <c r="K54" s="38"/>
      <c r="L54" s="7"/>
      <c r="U54" s="61"/>
      <c r="V54" s="63"/>
      <c r="W54" s="31"/>
      <c r="X54" s="31"/>
      <c r="Y54" s="31"/>
      <c r="Z54" s="31"/>
      <c r="AA54" s="31"/>
      <c r="AB54" s="31">
        <f>SUM(I54)</f>
        <v>7500</v>
      </c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Z54" s="61">
        <f t="shared" ref="AZ54:AZ60" si="10">SUM(U54:AY54)-C54</f>
        <v>0</v>
      </c>
    </row>
    <row r="55" spans="1:52" ht="12.75" customHeight="1" x14ac:dyDescent="0.3">
      <c r="A55" s="8">
        <v>3</v>
      </c>
      <c r="B55" s="32" t="s">
        <v>175</v>
      </c>
      <c r="C55" s="31">
        <v>550</v>
      </c>
      <c r="D55" s="29">
        <f t="shared" si="6"/>
        <v>-550</v>
      </c>
      <c r="E55" s="28">
        <v>43891</v>
      </c>
      <c r="F55" s="27">
        <f t="shared" si="1"/>
        <v>32923.497500000005</v>
      </c>
      <c r="G55" s="77"/>
      <c r="H55" s="77">
        <v>7650</v>
      </c>
      <c r="I55" s="78">
        <f>C55</f>
        <v>550</v>
      </c>
      <c r="J55" s="77"/>
      <c r="K55" s="38"/>
      <c r="L55" s="7"/>
      <c r="U55" s="61"/>
      <c r="V55" s="63"/>
      <c r="W55" s="31"/>
      <c r="X55" s="31"/>
      <c r="Y55" s="31"/>
      <c r="Z55" s="31"/>
      <c r="AA55" s="31"/>
      <c r="AB55" s="31"/>
      <c r="AC55" s="31">
        <f>SUM(I55)</f>
        <v>550</v>
      </c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Z55" s="61">
        <f t="shared" si="10"/>
        <v>0</v>
      </c>
    </row>
    <row r="56" spans="1:52" ht="12.75" customHeight="1" x14ac:dyDescent="0.3">
      <c r="A56" s="8">
        <v>3</v>
      </c>
      <c r="B56" s="32" t="s">
        <v>174</v>
      </c>
      <c r="C56" s="31">
        <v>1800</v>
      </c>
      <c r="D56" s="29">
        <f t="shared" si="6"/>
        <v>-1800</v>
      </c>
      <c r="E56" s="28" t="s">
        <v>187</v>
      </c>
      <c r="F56" s="27">
        <f t="shared" si="1"/>
        <v>31123.497500000005</v>
      </c>
      <c r="G56" s="77"/>
      <c r="H56" s="77">
        <v>7650</v>
      </c>
      <c r="I56" s="78">
        <f>C56</f>
        <v>1800</v>
      </c>
      <c r="J56" s="77"/>
      <c r="K56" s="38"/>
      <c r="L56" s="7"/>
      <c r="U56" s="61"/>
      <c r="V56" s="63"/>
      <c r="W56" s="31"/>
      <c r="X56" s="31"/>
      <c r="Y56" s="31"/>
      <c r="Z56" s="31"/>
      <c r="AA56" s="31"/>
      <c r="AB56" s="31"/>
      <c r="AC56" s="31">
        <f>SUM(I56)</f>
        <v>1800</v>
      </c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Z56" s="61">
        <f t="shared" si="10"/>
        <v>0</v>
      </c>
    </row>
    <row r="57" spans="1:52" ht="12.75" customHeight="1" x14ac:dyDescent="0.3">
      <c r="A57" s="8">
        <v>3</v>
      </c>
      <c r="B57" s="32" t="s">
        <v>172</v>
      </c>
      <c r="C57" s="31">
        <v>9917</v>
      </c>
      <c r="D57" s="29">
        <f t="shared" si="6"/>
        <v>-9917</v>
      </c>
      <c r="E57" s="28">
        <v>43891</v>
      </c>
      <c r="F57" s="27">
        <f t="shared" si="1"/>
        <v>21206.497500000005</v>
      </c>
      <c r="G57" s="77"/>
      <c r="H57" s="77">
        <v>5750</v>
      </c>
      <c r="I57" s="80">
        <v>1584</v>
      </c>
      <c r="J57" s="77">
        <v>5520</v>
      </c>
      <c r="K57" s="38">
        <v>8333</v>
      </c>
      <c r="L57" s="7"/>
      <c r="U57" s="61"/>
      <c r="V57" s="63"/>
      <c r="W57" s="31"/>
      <c r="X57" s="31"/>
      <c r="Y57" s="31"/>
      <c r="Z57" s="31"/>
      <c r="AA57" s="31"/>
      <c r="AB57" s="31"/>
      <c r="AC57" s="31"/>
      <c r="AD57" s="31">
        <f>SUM(I57)</f>
        <v>1584</v>
      </c>
      <c r="AE57" s="31">
        <f>SUM(K57)</f>
        <v>8333</v>
      </c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Z57" s="61">
        <f t="shared" si="10"/>
        <v>0</v>
      </c>
    </row>
    <row r="58" spans="1:52" ht="12.75" customHeight="1" x14ac:dyDescent="0.3">
      <c r="A58" s="8">
        <v>3</v>
      </c>
      <c r="B58" s="32" t="s">
        <v>171</v>
      </c>
      <c r="C58" s="31">
        <v>34.950000000000003</v>
      </c>
      <c r="D58" s="29">
        <f t="shared" si="6"/>
        <v>-34.950000000000003</v>
      </c>
      <c r="E58" s="28">
        <v>43891</v>
      </c>
      <c r="F58" s="27">
        <f t="shared" si="1"/>
        <v>21171.547500000004</v>
      </c>
      <c r="G58" s="77"/>
      <c r="H58" s="77">
        <v>7850</v>
      </c>
      <c r="I58" s="78">
        <f>C58</f>
        <v>34.950000000000003</v>
      </c>
      <c r="J58" s="77"/>
      <c r="K58" s="38"/>
      <c r="L58" s="7"/>
      <c r="U58" s="61">
        <f>SUM(I58)</f>
        <v>34.950000000000003</v>
      </c>
      <c r="V58" s="63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Z58" s="61">
        <f t="shared" si="10"/>
        <v>0</v>
      </c>
    </row>
    <row r="59" spans="1:52" s="214" customFormat="1" ht="12.75" customHeight="1" x14ac:dyDescent="0.3">
      <c r="A59" s="8">
        <v>3</v>
      </c>
      <c r="B59" s="241" t="s">
        <v>392</v>
      </c>
      <c r="C59" s="242">
        <v>4500</v>
      </c>
      <c r="D59" s="238">
        <f t="shared" si="6"/>
        <v>-4500</v>
      </c>
      <c r="E59" s="243" t="s">
        <v>393</v>
      </c>
      <c r="F59" s="27">
        <f t="shared" si="1"/>
        <v>16671.547500000004</v>
      </c>
      <c r="G59" s="77"/>
      <c r="H59" s="77"/>
      <c r="I59" s="78"/>
      <c r="J59" s="77"/>
      <c r="K59" s="38"/>
      <c r="L59" s="7"/>
      <c r="M59" s="7"/>
      <c r="N59" s="7"/>
      <c r="O59" s="7"/>
      <c r="P59" s="7"/>
      <c r="Q59" s="7"/>
      <c r="R59" s="7"/>
      <c r="S59" s="7"/>
      <c r="T59" s="7"/>
      <c r="U59" s="61"/>
      <c r="V59" s="63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7"/>
      <c r="AU59" s="7"/>
      <c r="AV59" s="7"/>
      <c r="AW59" s="31">
        <f>SUM(C59)</f>
        <v>4500</v>
      </c>
      <c r="AX59" s="7"/>
      <c r="AY59" s="62"/>
      <c r="AZ59" s="61">
        <f t="shared" si="10"/>
        <v>0</v>
      </c>
    </row>
    <row r="60" spans="1:52" ht="12.75" customHeight="1" x14ac:dyDescent="0.3">
      <c r="A60" s="8">
        <v>3</v>
      </c>
      <c r="B60" s="32" t="s">
        <v>169</v>
      </c>
      <c r="C60" s="31">
        <v>150</v>
      </c>
      <c r="D60" s="29">
        <f t="shared" si="6"/>
        <v>-150</v>
      </c>
      <c r="E60" s="28" t="s">
        <v>186</v>
      </c>
      <c r="F60" s="27">
        <f t="shared" si="1"/>
        <v>16521.547500000004</v>
      </c>
      <c r="G60" s="77"/>
      <c r="H60" s="77">
        <v>7090</v>
      </c>
      <c r="I60" s="78">
        <f>C60</f>
        <v>150</v>
      </c>
      <c r="J60" s="77"/>
      <c r="K60" s="38"/>
      <c r="L60" s="7"/>
      <c r="U60" s="61"/>
      <c r="V60" s="63"/>
      <c r="W60" s="31"/>
      <c r="X60" s="31"/>
      <c r="Y60" s="31"/>
      <c r="Z60" s="31"/>
      <c r="AA60" s="31"/>
      <c r="AB60" s="31"/>
      <c r="AC60" s="31"/>
      <c r="AD60" s="31"/>
      <c r="AE60" s="31"/>
      <c r="AF60" s="31">
        <f>SUM(I60)</f>
        <v>150</v>
      </c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Z60" s="61">
        <f t="shared" si="10"/>
        <v>0</v>
      </c>
    </row>
    <row r="61" spans="1:52" ht="12.75" customHeight="1" x14ac:dyDescent="0.3">
      <c r="A61" s="129">
        <v>3</v>
      </c>
      <c r="B61" s="130" t="s">
        <v>155</v>
      </c>
      <c r="C61" s="131">
        <f>SUM(C37)</f>
        <v>18100</v>
      </c>
      <c r="D61" s="132">
        <f t="shared" si="6"/>
        <v>-18100</v>
      </c>
      <c r="E61" s="133">
        <v>43895</v>
      </c>
      <c r="F61" s="134">
        <f t="shared" si="1"/>
        <v>-1578.4524999999958</v>
      </c>
      <c r="G61" s="77"/>
      <c r="H61" s="77">
        <v>8570</v>
      </c>
      <c r="I61" s="80">
        <v>1375</v>
      </c>
      <c r="J61" s="77" t="s">
        <v>207</v>
      </c>
      <c r="K61" s="38" t="s">
        <v>207</v>
      </c>
      <c r="L61" s="7">
        <v>8510</v>
      </c>
      <c r="M61" s="38">
        <v>13600</v>
      </c>
      <c r="N61" s="50">
        <v>8250</v>
      </c>
      <c r="O61" s="38">
        <v>1000</v>
      </c>
      <c r="P61" s="50">
        <v>8530</v>
      </c>
      <c r="Q61" s="123">
        <v>2000</v>
      </c>
      <c r="R61" s="50">
        <v>8590</v>
      </c>
      <c r="S61" s="38">
        <v>125</v>
      </c>
      <c r="T61" s="51">
        <f>SUM(I61+M61+O61+Q61+S61)</f>
        <v>18100</v>
      </c>
      <c r="U61" s="61"/>
      <c r="V61" s="63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>
        <f>SUM(I61)</f>
        <v>1375</v>
      </c>
      <c r="AH61" s="31">
        <f>SUM(M61)</f>
        <v>13600</v>
      </c>
      <c r="AI61" s="31">
        <f>SUM(O61)</f>
        <v>1000</v>
      </c>
      <c r="AJ61" s="31">
        <f>SUM(Q61)</f>
        <v>2000</v>
      </c>
      <c r="AK61" s="31">
        <f>SUM(S61)</f>
        <v>125</v>
      </c>
      <c r="AL61" s="31"/>
      <c r="AM61" s="31"/>
      <c r="AN61" s="31"/>
      <c r="AO61" s="31"/>
      <c r="AP61" s="31"/>
      <c r="AQ61" s="31"/>
      <c r="AR61" s="31"/>
      <c r="AS61" s="31"/>
      <c r="AZ61" s="61">
        <f t="shared" ref="AZ61:AZ76" si="11">SUM(U61:AY61)-C61</f>
        <v>0</v>
      </c>
    </row>
    <row r="62" spans="1:52" ht="12.75" customHeight="1" x14ac:dyDescent="0.3">
      <c r="A62" s="8">
        <v>3</v>
      </c>
      <c r="B62" s="32" t="s">
        <v>153</v>
      </c>
      <c r="C62" s="31">
        <v>100</v>
      </c>
      <c r="D62" s="29">
        <f t="shared" si="6"/>
        <v>-100</v>
      </c>
      <c r="E62" s="28">
        <v>43897</v>
      </c>
      <c r="F62" s="27">
        <f t="shared" si="1"/>
        <v>-1678.4524999999958</v>
      </c>
      <c r="G62" s="77"/>
      <c r="H62" s="77">
        <v>7850</v>
      </c>
      <c r="I62" s="78">
        <f>C62</f>
        <v>100</v>
      </c>
      <c r="J62" s="77"/>
      <c r="K62" s="38"/>
      <c r="L62" s="7"/>
      <c r="U62" s="61">
        <f>SUM(I62)</f>
        <v>100</v>
      </c>
      <c r="V62" s="63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Z62" s="61">
        <f t="shared" si="11"/>
        <v>0</v>
      </c>
    </row>
    <row r="63" spans="1:52" ht="12.75" customHeight="1" x14ac:dyDescent="0.3">
      <c r="A63" s="135">
        <v>3</v>
      </c>
      <c r="B63" s="136" t="s">
        <v>157</v>
      </c>
      <c r="C63" s="137"/>
      <c r="D63" s="138">
        <v>40630.800000000003</v>
      </c>
      <c r="E63" s="139" t="s">
        <v>158</v>
      </c>
      <c r="F63" s="140">
        <f t="shared" si="1"/>
        <v>38952.347500000003</v>
      </c>
      <c r="G63" s="82"/>
      <c r="H63" s="77" t="s">
        <v>207</v>
      </c>
      <c r="I63" s="78" t="s">
        <v>207</v>
      </c>
      <c r="J63" s="77"/>
      <c r="K63" s="38"/>
      <c r="L63" s="7"/>
      <c r="U63" s="61"/>
      <c r="V63" s="63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Z63" s="61">
        <f t="shared" si="11"/>
        <v>0</v>
      </c>
    </row>
    <row r="64" spans="1:52" ht="12.75" customHeight="1" x14ac:dyDescent="0.3">
      <c r="A64" s="135">
        <v>3</v>
      </c>
      <c r="B64" s="136" t="s">
        <v>157</v>
      </c>
      <c r="C64" s="137"/>
      <c r="D64" s="141">
        <v>262637.08</v>
      </c>
      <c r="E64" s="139" t="s">
        <v>156</v>
      </c>
      <c r="F64" s="140">
        <f t="shared" si="1"/>
        <v>301589.42749999999</v>
      </c>
      <c r="G64" s="77"/>
      <c r="H64" s="77" t="s">
        <v>207</v>
      </c>
      <c r="I64" s="77" t="s">
        <v>207</v>
      </c>
      <c r="J64" s="77"/>
      <c r="K64" s="38"/>
      <c r="L64" s="7"/>
      <c r="U64" s="61"/>
      <c r="V64" s="63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Z64" s="61">
        <f t="shared" si="11"/>
        <v>0</v>
      </c>
    </row>
    <row r="65" spans="1:52" ht="12.75" customHeight="1" x14ac:dyDescent="0.3">
      <c r="A65" s="8">
        <v>3</v>
      </c>
      <c r="B65" s="32" t="s">
        <v>165</v>
      </c>
      <c r="C65" s="31">
        <v>200</v>
      </c>
      <c r="D65" s="29">
        <f>SUM(C65*-1)</f>
        <v>-200</v>
      </c>
      <c r="E65" s="28">
        <v>43905</v>
      </c>
      <c r="F65" s="27">
        <f t="shared" si="1"/>
        <v>301389.42749999999</v>
      </c>
      <c r="G65" s="82"/>
      <c r="H65" s="77">
        <v>6770</v>
      </c>
      <c r="I65" s="78">
        <f>C65</f>
        <v>200</v>
      </c>
      <c r="J65" s="77"/>
      <c r="K65" s="38"/>
      <c r="L65" s="7"/>
      <c r="U65" s="61"/>
      <c r="V65" s="63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>
        <f>SUM(I65)</f>
        <v>200</v>
      </c>
      <c r="AN65" s="31"/>
      <c r="AO65" s="31"/>
      <c r="AP65" s="31"/>
      <c r="AQ65" s="31"/>
      <c r="AR65" s="31"/>
      <c r="AS65" s="31"/>
      <c r="AZ65" s="61">
        <f t="shared" si="11"/>
        <v>0</v>
      </c>
    </row>
    <row r="66" spans="1:52" ht="12.75" customHeight="1" x14ac:dyDescent="0.3">
      <c r="A66" s="8">
        <v>3</v>
      </c>
      <c r="B66" s="20" t="s">
        <v>164</v>
      </c>
      <c r="C66" s="31">
        <v>625</v>
      </c>
      <c r="D66" s="29">
        <f>SUM(C66*-1)</f>
        <v>-625</v>
      </c>
      <c r="E66" s="28" t="s">
        <v>185</v>
      </c>
      <c r="F66" s="27">
        <f t="shared" si="1"/>
        <v>300764.42749999999</v>
      </c>
      <c r="G66" s="82"/>
      <c r="H66" s="77">
        <v>5540</v>
      </c>
      <c r="I66" s="78">
        <f>C66</f>
        <v>625</v>
      </c>
      <c r="J66" s="77"/>
      <c r="K66" s="38"/>
      <c r="L66" s="7"/>
      <c r="U66" s="61"/>
      <c r="V66" s="63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>
        <f>SUM(I66)</f>
        <v>625</v>
      </c>
      <c r="AO66" s="31"/>
      <c r="AP66" s="31"/>
      <c r="AQ66" s="31"/>
      <c r="AR66" s="31"/>
      <c r="AS66" s="31"/>
      <c r="AZ66" s="61">
        <f t="shared" si="11"/>
        <v>0</v>
      </c>
    </row>
    <row r="67" spans="1:52" ht="12.75" customHeight="1" x14ac:dyDescent="0.3">
      <c r="A67" s="8">
        <v>3</v>
      </c>
      <c r="B67" s="32" t="s">
        <v>162</v>
      </c>
      <c r="C67" s="31">
        <v>60</v>
      </c>
      <c r="D67" s="29">
        <f>SUM(C67*-1)</f>
        <v>-60</v>
      </c>
      <c r="E67" s="28">
        <v>43905</v>
      </c>
      <c r="F67" s="27">
        <f t="shared" si="1"/>
        <v>300704.42749999999</v>
      </c>
      <c r="G67" s="82"/>
      <c r="H67" s="77">
        <v>7850</v>
      </c>
      <c r="I67" s="78">
        <f>C67</f>
        <v>60</v>
      </c>
      <c r="J67" s="77"/>
      <c r="K67" s="38"/>
      <c r="L67" s="7"/>
      <c r="U67" s="61">
        <f>SUM(I67)</f>
        <v>60</v>
      </c>
      <c r="V67" s="63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Z67" s="61">
        <f t="shared" si="11"/>
        <v>0</v>
      </c>
    </row>
    <row r="68" spans="1:52" ht="12.75" customHeight="1" x14ac:dyDescent="0.3">
      <c r="A68" s="8">
        <v>3</v>
      </c>
      <c r="B68" s="20" t="s">
        <v>160</v>
      </c>
      <c r="C68" s="30">
        <v>1833.35</v>
      </c>
      <c r="D68" s="29">
        <f>SUM(C68*-1)</f>
        <v>-1833.35</v>
      </c>
      <c r="E68" s="28">
        <v>43906</v>
      </c>
      <c r="F68" s="27">
        <f t="shared" si="1"/>
        <v>298871.07750000001</v>
      </c>
      <c r="G68" s="82"/>
      <c r="H68" s="77">
        <v>6590</v>
      </c>
      <c r="I68" s="78">
        <f>C68</f>
        <v>1833.35</v>
      </c>
      <c r="J68" s="77"/>
      <c r="K68" s="38"/>
      <c r="L68" s="7"/>
      <c r="U68" s="61"/>
      <c r="V68" s="63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P68" s="31">
        <f>SUM(I68)</f>
        <v>1833.35</v>
      </c>
      <c r="AQ68" s="31"/>
      <c r="AR68" s="31"/>
      <c r="AS68" s="31"/>
      <c r="AZ68" s="61">
        <f t="shared" si="11"/>
        <v>0</v>
      </c>
    </row>
    <row r="69" spans="1:52" ht="12.75" customHeight="1" x14ac:dyDescent="0.3">
      <c r="A69" s="42">
        <v>3</v>
      </c>
      <c r="B69" s="43" t="s">
        <v>155</v>
      </c>
      <c r="C69" s="44">
        <f>SUM(C61)</f>
        <v>18100</v>
      </c>
      <c r="D69" s="46">
        <f>SUM(C69*-1)</f>
        <v>-18100</v>
      </c>
      <c r="E69" s="47" t="s">
        <v>184</v>
      </c>
      <c r="F69" s="27">
        <f t="shared" si="1"/>
        <v>280771.07750000001</v>
      </c>
      <c r="G69" s="82"/>
      <c r="H69" s="77">
        <v>8570</v>
      </c>
      <c r="I69" s="80">
        <v>1375</v>
      </c>
      <c r="J69" s="77" t="s">
        <v>207</v>
      </c>
      <c r="K69" s="38" t="s">
        <v>207</v>
      </c>
      <c r="L69" s="7">
        <v>8510</v>
      </c>
      <c r="M69" s="38">
        <v>13600</v>
      </c>
      <c r="N69" s="50">
        <v>8250</v>
      </c>
      <c r="O69" s="38">
        <v>1000</v>
      </c>
      <c r="P69" s="50">
        <v>8530</v>
      </c>
      <c r="Q69" s="123">
        <v>2000</v>
      </c>
      <c r="R69" s="50">
        <v>8590</v>
      </c>
      <c r="S69" s="38">
        <v>125</v>
      </c>
      <c r="T69" s="51">
        <f>SUM(I69+M69+O69+Q69+S69)</f>
        <v>18100</v>
      </c>
      <c r="U69" s="61"/>
      <c r="V69" s="63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>
        <f>SUM(I69)</f>
        <v>1375</v>
      </c>
      <c r="AH69" s="31">
        <f>SUM(M69)</f>
        <v>13600</v>
      </c>
      <c r="AI69" s="31">
        <f>SUM(O69)</f>
        <v>1000</v>
      </c>
      <c r="AJ69" s="31">
        <f>SUM(Q69)</f>
        <v>2000</v>
      </c>
      <c r="AK69" s="31">
        <f>SUM(S69)</f>
        <v>125</v>
      </c>
      <c r="AL69" s="31"/>
      <c r="AM69" s="31"/>
      <c r="AN69" s="31"/>
      <c r="AO69" s="31"/>
      <c r="AP69" s="31"/>
      <c r="AQ69" s="31"/>
      <c r="AR69" s="31"/>
      <c r="AS69" s="31"/>
      <c r="AZ69" s="61">
        <f t="shared" si="11"/>
        <v>0</v>
      </c>
    </row>
    <row r="70" spans="1:52" ht="12.75" customHeight="1" x14ac:dyDescent="0.3">
      <c r="A70" s="142">
        <v>3</v>
      </c>
      <c r="B70" s="143" t="s">
        <v>360</v>
      </c>
      <c r="C70" s="144"/>
      <c r="D70" s="145">
        <v>-50000</v>
      </c>
      <c r="E70" s="146" t="s">
        <v>361</v>
      </c>
      <c r="F70" s="147">
        <f t="shared" ref="F70:F134" si="12">SUM(F69+D70)</f>
        <v>230771.07750000001</v>
      </c>
      <c r="G70" s="82"/>
      <c r="H70" s="77" t="s">
        <v>207</v>
      </c>
      <c r="I70" s="77" t="s">
        <v>207</v>
      </c>
      <c r="J70" s="77"/>
      <c r="K70" s="38"/>
      <c r="L70" s="7"/>
      <c r="U70" s="61"/>
      <c r="V70" s="63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Z70" s="61">
        <f t="shared" si="11"/>
        <v>0</v>
      </c>
    </row>
    <row r="71" spans="1:52" ht="12.75" customHeight="1" x14ac:dyDescent="0.3">
      <c r="A71" s="8">
        <v>3</v>
      </c>
      <c r="B71" s="32" t="s">
        <v>153</v>
      </c>
      <c r="C71" s="31">
        <v>100</v>
      </c>
      <c r="D71" s="29">
        <f t="shared" ref="D71:D103" si="13">SUM(C71*-1)</f>
        <v>-100</v>
      </c>
      <c r="E71" s="28">
        <v>43911</v>
      </c>
      <c r="F71" s="27">
        <f t="shared" si="12"/>
        <v>230671.07750000001</v>
      </c>
      <c r="G71" s="77"/>
      <c r="H71" s="77">
        <v>7850</v>
      </c>
      <c r="I71" s="78">
        <f>C71</f>
        <v>100</v>
      </c>
      <c r="J71" s="77"/>
      <c r="K71" s="38"/>
      <c r="L71" s="33"/>
      <c r="M71" s="8"/>
      <c r="U71" s="61">
        <f>SUM(I71)</f>
        <v>100</v>
      </c>
      <c r="V71" s="63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Z71" s="61">
        <f t="shared" si="11"/>
        <v>0</v>
      </c>
    </row>
    <row r="72" spans="1:52" ht="12.75" customHeight="1" x14ac:dyDescent="0.3">
      <c r="A72" s="8">
        <v>3</v>
      </c>
      <c r="B72" s="20" t="s">
        <v>266</v>
      </c>
      <c r="C72" s="31">
        <f>SUM('CCD - Mnthly Bills'!C20)</f>
        <v>1523.3625000000002</v>
      </c>
      <c r="D72" s="29">
        <f t="shared" si="13"/>
        <v>-1523.3625000000002</v>
      </c>
      <c r="E72" s="28" t="s">
        <v>267</v>
      </c>
      <c r="F72" s="27">
        <f t="shared" si="12"/>
        <v>229147.71500000003</v>
      </c>
      <c r="G72" s="77"/>
      <c r="H72" s="570" t="s">
        <v>264</v>
      </c>
      <c r="I72" s="570"/>
      <c r="J72" s="77"/>
      <c r="K72" s="38"/>
      <c r="L72" s="7"/>
      <c r="U72" s="61"/>
      <c r="V72" s="63"/>
      <c r="W72" s="31">
        <f>SUM(W39)</f>
        <v>104.73750000000001</v>
      </c>
      <c r="X72" s="31"/>
      <c r="Y72" s="31">
        <f>SUM(Y39)</f>
        <v>778.6875</v>
      </c>
      <c r="Z72" s="31"/>
      <c r="AA72" s="31">
        <f>SUM(AA39)</f>
        <v>375</v>
      </c>
      <c r="AB72" s="31"/>
      <c r="AC72" s="31"/>
      <c r="AD72" s="31">
        <f>SUM(AD39)</f>
        <v>90</v>
      </c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>
        <f>SUM(AQ39)</f>
        <v>111.1875</v>
      </c>
      <c r="AR72" s="31">
        <f>SUM(AR39)</f>
        <v>63.75</v>
      </c>
      <c r="AS72" s="31"/>
      <c r="AZ72" s="61">
        <f t="shared" si="11"/>
        <v>0</v>
      </c>
    </row>
    <row r="73" spans="1:52" ht="12.75" customHeight="1" x14ac:dyDescent="0.3">
      <c r="A73" s="8">
        <v>3</v>
      </c>
      <c r="B73" s="32" t="s">
        <v>150</v>
      </c>
      <c r="C73" s="31">
        <v>458.65</v>
      </c>
      <c r="D73" s="29">
        <f t="shared" si="13"/>
        <v>-458.65</v>
      </c>
      <c r="E73" s="28" t="s">
        <v>183</v>
      </c>
      <c r="F73" s="27">
        <f t="shared" si="12"/>
        <v>228689.06500000003</v>
      </c>
      <c r="G73" s="77"/>
      <c r="H73" s="77">
        <v>7910</v>
      </c>
      <c r="I73" s="78">
        <f t="shared" ref="I73:I83" si="14">C73</f>
        <v>458.65</v>
      </c>
      <c r="J73" s="77"/>
      <c r="K73" s="38"/>
      <c r="L73" s="7"/>
      <c r="U73" s="61"/>
      <c r="V73" s="63">
        <f>SUM(I73)</f>
        <v>458.65</v>
      </c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Z73" s="61">
        <f t="shared" si="11"/>
        <v>0</v>
      </c>
    </row>
    <row r="74" spans="1:52" ht="12.75" customHeight="1" x14ac:dyDescent="0.3">
      <c r="A74" s="8">
        <v>3</v>
      </c>
      <c r="B74" s="32" t="s">
        <v>279</v>
      </c>
      <c r="C74" s="31">
        <f>SUM('TS 2019_2020 Est Travel'!F40+'TS 2019_2020 Est Travel'!F41+'TS 2019_2020 Est Travel'!F38+'TS 2019_2020 Est Travel'!F35+'TS 2019_2020 Est Travel'!F34+'TS 2019_2020 Est Travel'!F32+'TS 2019_2020 Est Travel'!F31+'TS 2019_2020 Est Travel'!F30)</f>
        <v>2707.6</v>
      </c>
      <c r="D74" s="29">
        <f t="shared" si="13"/>
        <v>-2707.6</v>
      </c>
      <c r="E74" s="28" t="s">
        <v>290</v>
      </c>
      <c r="F74" s="27">
        <f t="shared" si="12"/>
        <v>225981.46500000003</v>
      </c>
      <c r="G74" s="77"/>
      <c r="H74" s="77"/>
      <c r="I74" s="78"/>
      <c r="J74" s="77"/>
      <c r="K74" s="38"/>
      <c r="L74" s="7"/>
      <c r="U74" s="61"/>
      <c r="V74" s="63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U74" s="31">
        <f>SUM(C74)</f>
        <v>2707.6</v>
      </c>
      <c r="AV74" s="31"/>
      <c r="AW74" s="31"/>
      <c r="AX74" s="31"/>
      <c r="AZ74" s="61">
        <f t="shared" si="11"/>
        <v>0</v>
      </c>
    </row>
    <row r="75" spans="1:52" ht="12.75" customHeight="1" x14ac:dyDescent="0.3">
      <c r="A75" s="8">
        <v>3</v>
      </c>
      <c r="B75" s="32" t="s">
        <v>148</v>
      </c>
      <c r="C75" s="31">
        <v>150</v>
      </c>
      <c r="D75" s="29">
        <f t="shared" si="13"/>
        <v>-150</v>
      </c>
      <c r="E75" s="28" t="s">
        <v>182</v>
      </c>
      <c r="F75" s="27">
        <f t="shared" si="12"/>
        <v>225831.46500000003</v>
      </c>
      <c r="G75" s="77"/>
      <c r="H75" s="77">
        <v>7950</v>
      </c>
      <c r="I75" s="78">
        <f t="shared" si="14"/>
        <v>150</v>
      </c>
      <c r="J75" s="77"/>
      <c r="K75" s="38"/>
      <c r="L75" s="7"/>
      <c r="U75" s="61"/>
      <c r="V75" s="63"/>
      <c r="W75" s="31">
        <f>SUM(I75)</f>
        <v>150</v>
      </c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Z75" s="61">
        <f t="shared" si="11"/>
        <v>0</v>
      </c>
    </row>
    <row r="76" spans="1:52" ht="12.75" customHeight="1" x14ac:dyDescent="0.3">
      <c r="A76" s="8">
        <v>3</v>
      </c>
      <c r="B76" s="32" t="s">
        <v>146</v>
      </c>
      <c r="C76" s="31">
        <v>149.99</v>
      </c>
      <c r="D76" s="29">
        <f t="shared" si="13"/>
        <v>-149.99</v>
      </c>
      <c r="E76" s="28">
        <v>43918</v>
      </c>
      <c r="F76" s="27">
        <f t="shared" si="12"/>
        <v>225681.47500000003</v>
      </c>
      <c r="G76" s="77"/>
      <c r="H76" s="77">
        <v>7950</v>
      </c>
      <c r="I76" s="78">
        <f t="shared" si="14"/>
        <v>149.99</v>
      </c>
      <c r="J76" s="77"/>
      <c r="K76" s="38"/>
      <c r="L76" s="7"/>
      <c r="U76" s="61"/>
      <c r="V76" s="63"/>
      <c r="W76" s="31">
        <f>SUM(I76)</f>
        <v>149.99</v>
      </c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Z76" s="61">
        <f t="shared" si="11"/>
        <v>0</v>
      </c>
    </row>
    <row r="77" spans="1:52" ht="12.75" customHeight="1" x14ac:dyDescent="0.3">
      <c r="A77" s="215">
        <v>3</v>
      </c>
      <c r="B77" s="216" t="s">
        <v>358</v>
      </c>
      <c r="C77" s="217">
        <v>71400</v>
      </c>
      <c r="D77" s="218">
        <f t="shared" si="13"/>
        <v>-71400</v>
      </c>
      <c r="E77" s="219">
        <v>43921</v>
      </c>
      <c r="F77" s="220">
        <f t="shared" si="12"/>
        <v>154281.47500000003</v>
      </c>
      <c r="G77" s="77"/>
      <c r="H77" s="77"/>
      <c r="I77" s="78"/>
      <c r="J77" s="77"/>
      <c r="K77" s="38"/>
      <c r="L77" s="7"/>
      <c r="U77" s="61"/>
      <c r="V77" s="63"/>
      <c r="W77" s="31"/>
      <c r="X77" s="31">
        <f>SUM(C77)</f>
        <v>71400</v>
      </c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Z77" s="61">
        <f t="shared" ref="AZ77:AZ78" si="15">SUM(U77:AY77)-C77</f>
        <v>0</v>
      </c>
    </row>
    <row r="78" spans="1:52" ht="12.75" customHeight="1" x14ac:dyDescent="0.3">
      <c r="A78" s="8">
        <v>3</v>
      </c>
      <c r="B78" s="32" t="s">
        <v>144</v>
      </c>
      <c r="C78" s="31">
        <v>300</v>
      </c>
      <c r="D78" s="29">
        <f t="shared" si="13"/>
        <v>-300</v>
      </c>
      <c r="E78" s="28" t="s">
        <v>181</v>
      </c>
      <c r="F78" s="27">
        <f t="shared" si="12"/>
        <v>153981.47500000003</v>
      </c>
      <c r="G78" s="77"/>
      <c r="H78" s="77">
        <v>7950</v>
      </c>
      <c r="I78" s="78">
        <f t="shared" si="14"/>
        <v>300</v>
      </c>
      <c r="J78" s="77"/>
      <c r="K78" s="38"/>
      <c r="L78" s="7"/>
      <c r="U78" s="61"/>
      <c r="V78" s="63"/>
      <c r="W78" s="31">
        <f>SUM(I78)</f>
        <v>300</v>
      </c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Z78" s="61">
        <f t="shared" si="15"/>
        <v>0</v>
      </c>
    </row>
    <row r="79" spans="1:52" ht="12.75" customHeight="1" x14ac:dyDescent="0.3">
      <c r="A79" s="8">
        <v>3</v>
      </c>
      <c r="B79" s="20" t="s">
        <v>143</v>
      </c>
      <c r="C79" s="31">
        <v>75</v>
      </c>
      <c r="D79" s="29">
        <f t="shared" si="13"/>
        <v>-75</v>
      </c>
      <c r="E79" s="28" t="s">
        <v>181</v>
      </c>
      <c r="F79" s="27">
        <f t="shared" si="12"/>
        <v>153906.47500000003</v>
      </c>
      <c r="G79" s="77"/>
      <c r="H79" s="77">
        <v>7950</v>
      </c>
      <c r="I79" s="78">
        <f t="shared" si="14"/>
        <v>75</v>
      </c>
      <c r="J79" s="77"/>
      <c r="K79" s="38"/>
      <c r="L79" s="7"/>
      <c r="U79" s="61"/>
      <c r="V79" s="63"/>
      <c r="W79" s="31">
        <f>SUM(I79)</f>
        <v>75</v>
      </c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Z79" s="61">
        <f>SUM(U79:AY79)-C79</f>
        <v>0</v>
      </c>
    </row>
    <row r="80" spans="1:52" ht="12.75" customHeight="1" x14ac:dyDescent="0.3">
      <c r="A80" s="8">
        <v>3</v>
      </c>
      <c r="B80" s="32" t="s">
        <v>142</v>
      </c>
      <c r="C80" s="31">
        <v>2500</v>
      </c>
      <c r="D80" s="29">
        <f t="shared" si="13"/>
        <v>-2500</v>
      </c>
      <c r="E80" s="28">
        <v>43921</v>
      </c>
      <c r="F80" s="27">
        <f t="shared" si="12"/>
        <v>151406.47500000003</v>
      </c>
      <c r="G80" s="77"/>
      <c r="H80" s="77">
        <v>5710</v>
      </c>
      <c r="I80" s="78">
        <f t="shared" si="14"/>
        <v>2500</v>
      </c>
      <c r="J80" s="77"/>
      <c r="K80" s="38"/>
      <c r="L80" s="7"/>
      <c r="U80" s="61"/>
      <c r="V80" s="63"/>
      <c r="W80" s="31"/>
      <c r="X80" s="31"/>
      <c r="Z80" s="31">
        <f>SUM(I80)</f>
        <v>2500</v>
      </c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Z80" s="61">
        <f>SUM(U80:AY80)-C80</f>
        <v>0</v>
      </c>
    </row>
    <row r="81" spans="1:52" ht="12.75" customHeight="1" x14ac:dyDescent="0.3">
      <c r="A81" s="8">
        <v>3</v>
      </c>
      <c r="B81" s="32" t="s">
        <v>141</v>
      </c>
      <c r="C81" s="31">
        <v>1080</v>
      </c>
      <c r="D81" s="29">
        <f t="shared" si="13"/>
        <v>-1080</v>
      </c>
      <c r="E81" s="28">
        <v>43921</v>
      </c>
      <c r="F81" s="27">
        <f t="shared" si="12"/>
        <v>150326.47500000003</v>
      </c>
      <c r="G81" s="77"/>
      <c r="H81" s="77">
        <v>6730</v>
      </c>
      <c r="I81" s="78">
        <f t="shared" si="14"/>
        <v>1080</v>
      </c>
      <c r="J81" s="77"/>
      <c r="K81" s="38"/>
      <c r="L81" s="7"/>
      <c r="U81" s="61"/>
      <c r="V81" s="63"/>
      <c r="W81" s="31"/>
      <c r="X81" s="31">
        <f>SUM(I81)</f>
        <v>1080</v>
      </c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Z81" s="61">
        <f>SUM(U81:AY81)-C81</f>
        <v>0</v>
      </c>
    </row>
    <row r="82" spans="1:52" ht="12.75" customHeight="1" x14ac:dyDescent="0.3">
      <c r="A82" s="8">
        <v>3</v>
      </c>
      <c r="B82" s="32" t="s">
        <v>139</v>
      </c>
      <c r="C82" s="31">
        <v>750</v>
      </c>
      <c r="D82" s="29">
        <f t="shared" si="13"/>
        <v>-750</v>
      </c>
      <c r="E82" s="28" t="s">
        <v>181</v>
      </c>
      <c r="F82" s="27">
        <f t="shared" si="12"/>
        <v>149576.47500000003</v>
      </c>
      <c r="G82" s="77"/>
      <c r="H82" s="77">
        <v>7010</v>
      </c>
      <c r="I82" s="78">
        <f t="shared" si="14"/>
        <v>750</v>
      </c>
      <c r="J82" s="77"/>
      <c r="K82" s="38"/>
      <c r="L82" s="7"/>
      <c r="U82" s="61"/>
      <c r="V82" s="63"/>
      <c r="X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V82" s="31">
        <f>SUM(I82)</f>
        <v>750</v>
      </c>
      <c r="AW82" s="31"/>
      <c r="AX82" s="31"/>
      <c r="AZ82" s="61">
        <f>SUM(U82:AY82)-C82</f>
        <v>0</v>
      </c>
    </row>
    <row r="83" spans="1:52" ht="12.75" customHeight="1" thickBot="1" x14ac:dyDescent="0.35">
      <c r="A83" s="215">
        <v>3</v>
      </c>
      <c r="B83" s="216" t="s">
        <v>348</v>
      </c>
      <c r="C83" s="217">
        <v>5000</v>
      </c>
      <c r="D83" s="218">
        <f t="shared" si="13"/>
        <v>-5000</v>
      </c>
      <c r="E83" s="219" t="s">
        <v>181</v>
      </c>
      <c r="F83" s="220">
        <f t="shared" si="12"/>
        <v>144576.47500000003</v>
      </c>
      <c r="G83" s="77"/>
      <c r="H83" s="77">
        <v>5130</v>
      </c>
      <c r="I83" s="78">
        <f t="shared" si="14"/>
        <v>5000</v>
      </c>
      <c r="J83" s="77"/>
      <c r="K83" s="38"/>
      <c r="L83" s="7"/>
      <c r="U83" s="100"/>
      <c r="V83" s="99"/>
      <c r="W83" s="99"/>
      <c r="X83" s="99"/>
      <c r="Y83" s="99"/>
      <c r="Z83" s="99"/>
      <c r="AA83" s="99">
        <f>SUM(I83)</f>
        <v>5000</v>
      </c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73"/>
      <c r="AU83" s="73"/>
      <c r="AV83" s="73"/>
      <c r="AW83" s="73"/>
      <c r="AX83" s="73"/>
      <c r="AY83" s="73"/>
      <c r="AZ83" s="100">
        <f>SUM(U83:AY83)-C83</f>
        <v>0</v>
      </c>
    </row>
    <row r="84" spans="1:52" ht="12.75" customHeight="1" x14ac:dyDescent="0.3">
      <c r="B84" s="32"/>
      <c r="C84" s="31"/>
      <c r="D84" s="29"/>
      <c r="E84" s="115" t="s">
        <v>284</v>
      </c>
      <c r="F84" s="27">
        <f t="shared" si="12"/>
        <v>144576.47500000003</v>
      </c>
      <c r="G84" s="77"/>
      <c r="H84" s="77"/>
      <c r="I84" s="78"/>
      <c r="J84" s="77"/>
      <c r="K84" s="38"/>
      <c r="L84" s="7"/>
      <c r="U84" s="107">
        <f>SUM(U52:U83)</f>
        <v>294.95</v>
      </c>
      <c r="V84" s="108">
        <f>SUM(V52:V83)</f>
        <v>708.65</v>
      </c>
      <c r="W84" s="108">
        <f t="shared" ref="W84:AY84" si="16">SUM(W52:W83)</f>
        <v>779.72749999999996</v>
      </c>
      <c r="X84" s="108">
        <f t="shared" si="16"/>
        <v>72480</v>
      </c>
      <c r="Y84" s="108">
        <f t="shared" si="16"/>
        <v>778.6875</v>
      </c>
      <c r="Z84" s="108">
        <f t="shared" si="16"/>
        <v>2500</v>
      </c>
      <c r="AA84" s="108">
        <f t="shared" si="16"/>
        <v>5375</v>
      </c>
      <c r="AB84" s="108">
        <f t="shared" si="16"/>
        <v>7500</v>
      </c>
      <c r="AC84" s="108">
        <f t="shared" si="16"/>
        <v>2350</v>
      </c>
      <c r="AD84" s="108">
        <f t="shared" si="16"/>
        <v>1674</v>
      </c>
      <c r="AE84" s="108">
        <f t="shared" si="16"/>
        <v>8333</v>
      </c>
      <c r="AF84" s="108">
        <f t="shared" si="16"/>
        <v>150</v>
      </c>
      <c r="AG84" s="108">
        <f t="shared" si="16"/>
        <v>2750</v>
      </c>
      <c r="AH84" s="108">
        <f t="shared" si="16"/>
        <v>27200</v>
      </c>
      <c r="AI84" s="108">
        <f t="shared" si="16"/>
        <v>2000</v>
      </c>
      <c r="AJ84" s="108">
        <f t="shared" si="16"/>
        <v>4000</v>
      </c>
      <c r="AK84" s="108">
        <f t="shared" si="16"/>
        <v>250</v>
      </c>
      <c r="AL84" s="108">
        <f t="shared" si="16"/>
        <v>0</v>
      </c>
      <c r="AM84" s="108">
        <f t="shared" si="16"/>
        <v>200</v>
      </c>
      <c r="AN84" s="108">
        <f t="shared" si="16"/>
        <v>625</v>
      </c>
      <c r="AO84" s="108">
        <f t="shared" si="16"/>
        <v>0</v>
      </c>
      <c r="AP84" s="108">
        <f t="shared" si="16"/>
        <v>1833.35</v>
      </c>
      <c r="AQ84" s="108">
        <f t="shared" si="16"/>
        <v>111.1875</v>
      </c>
      <c r="AR84" s="108">
        <f t="shared" si="16"/>
        <v>63.75</v>
      </c>
      <c r="AS84" s="108">
        <f t="shared" si="16"/>
        <v>0</v>
      </c>
      <c r="AT84" s="108">
        <f t="shared" si="16"/>
        <v>0</v>
      </c>
      <c r="AU84" s="108">
        <f t="shared" si="16"/>
        <v>2707.6</v>
      </c>
      <c r="AV84" s="108">
        <f t="shared" si="16"/>
        <v>750</v>
      </c>
      <c r="AW84" s="108">
        <f t="shared" si="16"/>
        <v>4500</v>
      </c>
      <c r="AX84" s="108">
        <f t="shared" si="16"/>
        <v>5000</v>
      </c>
      <c r="AY84" s="108">
        <f t="shared" si="16"/>
        <v>1750</v>
      </c>
      <c r="AZ84" s="61"/>
    </row>
    <row r="85" spans="1:52" ht="12.75" customHeight="1" x14ac:dyDescent="0.3">
      <c r="A85" s="403">
        <v>4</v>
      </c>
      <c r="B85" s="398" t="s">
        <v>388</v>
      </c>
      <c r="C85" s="399">
        <f>SUM(C52)</f>
        <v>5000</v>
      </c>
      <c r="D85" s="400">
        <f t="shared" ref="D85" si="17">SUM(C85*-1)</f>
        <v>-5000</v>
      </c>
      <c r="E85" s="401" t="s">
        <v>390</v>
      </c>
      <c r="F85" s="412">
        <f t="shared" si="12"/>
        <v>139576.47500000003</v>
      </c>
      <c r="G85" s="77"/>
      <c r="H85" s="77"/>
      <c r="I85" s="78"/>
      <c r="J85" s="77"/>
      <c r="K85" s="38"/>
      <c r="L85" s="7"/>
      <c r="U85" s="61"/>
      <c r="V85" s="63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X85" s="31">
        <f>SUM(C85)</f>
        <v>5000</v>
      </c>
      <c r="AZ85" s="61">
        <f t="shared" ref="AZ85:AZ112" si="18">SUM(U85:AY85)-C85</f>
        <v>0</v>
      </c>
    </row>
    <row r="86" spans="1:52" ht="12.75" customHeight="1" x14ac:dyDescent="0.3">
      <c r="A86" s="8">
        <v>4</v>
      </c>
      <c r="B86" s="32" t="s">
        <v>177</v>
      </c>
      <c r="C86" s="31">
        <v>2000</v>
      </c>
      <c r="D86" s="29">
        <f t="shared" si="13"/>
        <v>-2000</v>
      </c>
      <c r="E86" s="28" t="s">
        <v>170</v>
      </c>
      <c r="F86" s="27">
        <f t="shared" si="12"/>
        <v>137576.47500000003</v>
      </c>
      <c r="G86" s="77"/>
      <c r="H86" s="77"/>
      <c r="I86" s="78"/>
      <c r="J86" s="77"/>
      <c r="K86" s="38"/>
      <c r="L86" s="7"/>
      <c r="U86" s="61"/>
      <c r="V86" s="63">
        <v>250</v>
      </c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Y86" s="63">
        <v>1750</v>
      </c>
      <c r="AZ86" s="61">
        <f t="shared" si="18"/>
        <v>0</v>
      </c>
    </row>
    <row r="87" spans="1:52" ht="12.75" customHeight="1" x14ac:dyDescent="0.3">
      <c r="A87" s="8">
        <v>4</v>
      </c>
      <c r="B87" s="32" t="s">
        <v>176</v>
      </c>
      <c r="C87" s="31">
        <v>7500</v>
      </c>
      <c r="D87" s="29">
        <f t="shared" si="13"/>
        <v>-7500</v>
      </c>
      <c r="E87" s="28" t="s">
        <v>170</v>
      </c>
      <c r="F87" s="27">
        <f t="shared" si="12"/>
        <v>130076.47500000003</v>
      </c>
      <c r="G87" s="77"/>
      <c r="H87" s="77">
        <v>5510</v>
      </c>
      <c r="I87" s="78">
        <f>C87</f>
        <v>7500</v>
      </c>
      <c r="J87" s="77"/>
      <c r="K87" s="38"/>
      <c r="L87" s="7"/>
      <c r="U87" s="61"/>
      <c r="V87" s="63"/>
      <c r="W87" s="31"/>
      <c r="X87" s="31"/>
      <c r="Y87" s="31"/>
      <c r="Z87" s="31"/>
      <c r="AA87" s="31"/>
      <c r="AB87" s="31">
        <f>SUM(I87)</f>
        <v>7500</v>
      </c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Z87" s="61">
        <f t="shared" si="18"/>
        <v>0</v>
      </c>
    </row>
    <row r="88" spans="1:52" ht="12.75" customHeight="1" x14ac:dyDescent="0.3">
      <c r="A88" s="8">
        <v>4</v>
      </c>
      <c r="B88" s="32" t="s">
        <v>175</v>
      </c>
      <c r="C88" s="31">
        <v>550</v>
      </c>
      <c r="D88" s="29">
        <f t="shared" si="13"/>
        <v>-550</v>
      </c>
      <c r="E88" s="28" t="s">
        <v>170</v>
      </c>
      <c r="F88" s="27">
        <f t="shared" si="12"/>
        <v>129526.47500000003</v>
      </c>
      <c r="G88" s="77"/>
      <c r="H88" s="77">
        <v>7650</v>
      </c>
      <c r="I88" s="78">
        <f>C88</f>
        <v>550</v>
      </c>
      <c r="J88" s="77"/>
      <c r="K88" s="38"/>
      <c r="L88" s="7"/>
      <c r="U88" s="61"/>
      <c r="V88" s="63"/>
      <c r="W88" s="31"/>
      <c r="X88" s="31"/>
      <c r="Y88" s="31"/>
      <c r="Z88" s="31"/>
      <c r="AA88" s="31"/>
      <c r="AB88" s="31"/>
      <c r="AC88" s="31">
        <f>SUM(I88)</f>
        <v>550</v>
      </c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Z88" s="61">
        <f t="shared" si="18"/>
        <v>0</v>
      </c>
    </row>
    <row r="89" spans="1:52" ht="12.75" customHeight="1" x14ac:dyDescent="0.3">
      <c r="A89" s="8">
        <v>4</v>
      </c>
      <c r="B89" s="32" t="s">
        <v>174</v>
      </c>
      <c r="C89" s="31">
        <v>1800</v>
      </c>
      <c r="D89" s="29">
        <f t="shared" si="13"/>
        <v>-1800</v>
      </c>
      <c r="E89" s="28" t="s">
        <v>173</v>
      </c>
      <c r="F89" s="27">
        <f t="shared" si="12"/>
        <v>127726.47500000003</v>
      </c>
      <c r="G89" s="77"/>
      <c r="H89" s="77">
        <v>7650</v>
      </c>
      <c r="I89" s="78">
        <f>C89</f>
        <v>1800</v>
      </c>
      <c r="J89" s="77"/>
      <c r="K89" s="38"/>
      <c r="L89" s="7"/>
      <c r="U89" s="61"/>
      <c r="V89" s="63"/>
      <c r="W89" s="31"/>
      <c r="X89" s="31"/>
      <c r="Y89" s="31"/>
      <c r="Z89" s="31"/>
      <c r="AA89" s="31"/>
      <c r="AB89" s="31"/>
      <c r="AC89" s="31">
        <f>SUM(I89)</f>
        <v>1800</v>
      </c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Z89" s="61">
        <f t="shared" si="18"/>
        <v>0</v>
      </c>
    </row>
    <row r="90" spans="1:52" ht="12.75" customHeight="1" x14ac:dyDescent="0.3">
      <c r="A90" s="8">
        <v>4</v>
      </c>
      <c r="B90" s="32" t="s">
        <v>172</v>
      </c>
      <c r="C90" s="31">
        <v>9917</v>
      </c>
      <c r="D90" s="29">
        <f t="shared" si="13"/>
        <v>-9917</v>
      </c>
      <c r="E90" s="28" t="s">
        <v>170</v>
      </c>
      <c r="F90" s="27">
        <f t="shared" si="12"/>
        <v>117809.47500000003</v>
      </c>
      <c r="G90" s="77"/>
      <c r="H90" s="77">
        <v>5750</v>
      </c>
      <c r="I90" s="80">
        <v>1584</v>
      </c>
      <c r="J90" s="77">
        <v>5520</v>
      </c>
      <c r="K90" s="38">
        <v>8333</v>
      </c>
      <c r="L90" s="7"/>
      <c r="U90" s="61"/>
      <c r="V90" s="63"/>
      <c r="W90" s="31"/>
      <c r="X90" s="31"/>
      <c r="Y90" s="31"/>
      <c r="Z90" s="31"/>
      <c r="AA90" s="31"/>
      <c r="AB90" s="31"/>
      <c r="AC90" s="31"/>
      <c r="AD90" s="31">
        <f>SUM(I90)</f>
        <v>1584</v>
      </c>
      <c r="AE90" s="31">
        <f>SUM(K90)</f>
        <v>8333</v>
      </c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Z90" s="61">
        <f t="shared" si="18"/>
        <v>0</v>
      </c>
    </row>
    <row r="91" spans="1:52" ht="12.75" customHeight="1" x14ac:dyDescent="0.3">
      <c r="A91" s="8">
        <v>4</v>
      </c>
      <c r="B91" s="32" t="s">
        <v>171</v>
      </c>
      <c r="C91" s="31">
        <v>34.950000000000003</v>
      </c>
      <c r="D91" s="29">
        <f t="shared" si="13"/>
        <v>-34.950000000000003</v>
      </c>
      <c r="E91" s="28" t="s">
        <v>170</v>
      </c>
      <c r="F91" s="27">
        <f t="shared" si="12"/>
        <v>117774.52500000004</v>
      </c>
      <c r="G91" s="77"/>
      <c r="H91" s="77">
        <v>7850</v>
      </c>
      <c r="I91" s="78">
        <f>C91</f>
        <v>34.950000000000003</v>
      </c>
      <c r="J91" s="77"/>
      <c r="K91" s="38"/>
      <c r="L91" s="7"/>
      <c r="U91" s="61">
        <f>SUM(I91)</f>
        <v>34.950000000000003</v>
      </c>
      <c r="V91" s="63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Z91" s="61">
        <f t="shared" si="18"/>
        <v>0</v>
      </c>
    </row>
    <row r="92" spans="1:52" ht="12.75" customHeight="1" x14ac:dyDescent="0.3">
      <c r="A92" s="8">
        <v>4</v>
      </c>
      <c r="B92" s="32" t="s">
        <v>169</v>
      </c>
      <c r="C92" s="31">
        <v>150</v>
      </c>
      <c r="D92" s="29">
        <f t="shared" si="13"/>
        <v>-150</v>
      </c>
      <c r="E92" s="28" t="s">
        <v>168</v>
      </c>
      <c r="F92" s="27">
        <f t="shared" si="12"/>
        <v>117624.52500000004</v>
      </c>
      <c r="G92" s="77"/>
      <c r="H92" s="77">
        <v>7090</v>
      </c>
      <c r="I92" s="78">
        <f>C92</f>
        <v>150</v>
      </c>
      <c r="J92" s="77"/>
      <c r="K92" s="38"/>
      <c r="L92" s="7"/>
      <c r="U92" s="61"/>
      <c r="V92" s="63"/>
      <c r="W92" s="31"/>
      <c r="X92" s="31"/>
      <c r="Y92" s="31"/>
      <c r="Z92" s="31"/>
      <c r="AA92" s="31"/>
      <c r="AB92" s="31"/>
      <c r="AC92" s="31"/>
      <c r="AD92" s="31"/>
      <c r="AE92" s="31"/>
      <c r="AF92" s="31">
        <f>SUM(I92)</f>
        <v>150</v>
      </c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Z92" s="61">
        <f t="shared" si="18"/>
        <v>0</v>
      </c>
    </row>
    <row r="93" spans="1:52" ht="12.75" customHeight="1" x14ac:dyDescent="0.3">
      <c r="A93" s="8">
        <v>4</v>
      </c>
      <c r="B93" s="32" t="s">
        <v>155</v>
      </c>
      <c r="C93" s="31">
        <f>SUM(C69)</f>
        <v>18100</v>
      </c>
      <c r="D93" s="29">
        <f t="shared" si="13"/>
        <v>-18100</v>
      </c>
      <c r="E93" s="28" t="s">
        <v>167</v>
      </c>
      <c r="F93" s="27">
        <f t="shared" si="12"/>
        <v>99524.525000000038</v>
      </c>
      <c r="G93" s="77"/>
      <c r="H93" s="77">
        <v>8570</v>
      </c>
      <c r="I93" s="80">
        <v>1375</v>
      </c>
      <c r="J93" s="77" t="s">
        <v>207</v>
      </c>
      <c r="K93" s="38" t="s">
        <v>207</v>
      </c>
      <c r="L93" s="7">
        <v>8510</v>
      </c>
      <c r="M93" s="38">
        <v>13600</v>
      </c>
      <c r="N93" s="50">
        <v>8250</v>
      </c>
      <c r="O93" s="38">
        <v>1000</v>
      </c>
      <c r="P93" s="50">
        <v>8530</v>
      </c>
      <c r="Q93" s="123">
        <v>2000</v>
      </c>
      <c r="R93" s="50">
        <v>8590</v>
      </c>
      <c r="S93" s="38">
        <v>125</v>
      </c>
      <c r="T93" s="51">
        <f>SUM(I93+M93+O93+Q93+S93)</f>
        <v>18100</v>
      </c>
      <c r="U93" s="61"/>
      <c r="V93" s="63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>
        <f>SUM(I93)</f>
        <v>1375</v>
      </c>
      <c r="AH93" s="31">
        <f>SUM(M93)</f>
        <v>13600</v>
      </c>
      <c r="AI93" s="31">
        <f>SUM(O93)</f>
        <v>1000</v>
      </c>
      <c r="AJ93" s="31">
        <f>SUM(Q93)</f>
        <v>2000</v>
      </c>
      <c r="AK93" s="31">
        <f>SUM(S93)</f>
        <v>125</v>
      </c>
      <c r="AL93" s="31"/>
      <c r="AM93" s="31"/>
      <c r="AN93" s="31"/>
      <c r="AO93" s="31"/>
      <c r="AP93" s="31"/>
      <c r="AQ93" s="31"/>
      <c r="AR93" s="31"/>
      <c r="AS93" s="31"/>
      <c r="AZ93" s="61">
        <f t="shared" si="18"/>
        <v>0</v>
      </c>
    </row>
    <row r="94" spans="1:52" ht="12.75" customHeight="1" x14ac:dyDescent="0.3">
      <c r="A94" s="8">
        <v>4</v>
      </c>
      <c r="B94" s="32" t="s">
        <v>153</v>
      </c>
      <c r="C94" s="31">
        <v>100</v>
      </c>
      <c r="D94" s="29">
        <f t="shared" si="13"/>
        <v>-100</v>
      </c>
      <c r="E94" s="28" t="s">
        <v>166</v>
      </c>
      <c r="F94" s="27">
        <f t="shared" si="12"/>
        <v>99424.525000000038</v>
      </c>
      <c r="G94" s="77"/>
      <c r="H94" s="77">
        <v>7850</v>
      </c>
      <c r="I94" s="78">
        <f t="shared" ref="I94:I99" si="19">C94</f>
        <v>100</v>
      </c>
      <c r="J94" s="77"/>
      <c r="K94" s="38"/>
      <c r="L94" s="7"/>
      <c r="U94" s="61">
        <f>SUM(I94)</f>
        <v>100</v>
      </c>
      <c r="V94" s="63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Z94" s="61">
        <f t="shared" si="18"/>
        <v>0</v>
      </c>
    </row>
    <row r="95" spans="1:52" ht="12.75" customHeight="1" x14ac:dyDescent="0.3">
      <c r="A95" s="8">
        <v>4</v>
      </c>
      <c r="B95" s="32" t="s">
        <v>165</v>
      </c>
      <c r="C95" s="31">
        <v>200</v>
      </c>
      <c r="D95" s="29">
        <f t="shared" si="13"/>
        <v>-200</v>
      </c>
      <c r="E95" s="28" t="s">
        <v>161</v>
      </c>
      <c r="F95" s="27">
        <f t="shared" si="12"/>
        <v>99224.525000000038</v>
      </c>
      <c r="G95" s="77"/>
      <c r="H95" s="77">
        <v>6770</v>
      </c>
      <c r="I95" s="78">
        <f t="shared" si="19"/>
        <v>200</v>
      </c>
      <c r="J95" s="77"/>
      <c r="K95" s="38"/>
      <c r="L95" s="7"/>
      <c r="U95" s="61"/>
      <c r="V95" s="63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>
        <f>SUM(I95)</f>
        <v>200</v>
      </c>
      <c r="AN95" s="31"/>
      <c r="AO95" s="31"/>
      <c r="AP95" s="31"/>
      <c r="AQ95" s="31"/>
      <c r="AR95" s="31"/>
      <c r="AS95" s="31"/>
      <c r="AZ95" s="61">
        <f t="shared" si="18"/>
        <v>0</v>
      </c>
    </row>
    <row r="96" spans="1:52" ht="12.75" customHeight="1" x14ac:dyDescent="0.3">
      <c r="A96" s="8">
        <v>4</v>
      </c>
      <c r="B96" s="20" t="s">
        <v>164</v>
      </c>
      <c r="C96" s="31">
        <v>625</v>
      </c>
      <c r="D96" s="29">
        <f t="shared" si="13"/>
        <v>-625</v>
      </c>
      <c r="E96" s="28" t="s">
        <v>163</v>
      </c>
      <c r="F96" s="27">
        <f t="shared" si="12"/>
        <v>98599.525000000038</v>
      </c>
      <c r="G96" s="77"/>
      <c r="H96" s="77">
        <v>5540</v>
      </c>
      <c r="I96" s="78">
        <f t="shared" si="19"/>
        <v>625</v>
      </c>
      <c r="J96" s="77"/>
      <c r="K96" s="38"/>
      <c r="L96" s="7"/>
      <c r="U96" s="61"/>
      <c r="V96" s="63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>
        <f>SUM(I96)</f>
        <v>625</v>
      </c>
      <c r="AO96" s="31"/>
      <c r="AP96" s="31"/>
      <c r="AQ96" s="31"/>
      <c r="AR96" s="31"/>
      <c r="AS96" s="31"/>
      <c r="AZ96" s="61">
        <f t="shared" si="18"/>
        <v>0</v>
      </c>
    </row>
    <row r="97" spans="1:52" ht="12.75" customHeight="1" x14ac:dyDescent="0.3">
      <c r="A97" s="8">
        <v>4</v>
      </c>
      <c r="B97" s="32" t="s">
        <v>162</v>
      </c>
      <c r="C97" s="31">
        <v>60</v>
      </c>
      <c r="D97" s="29">
        <f t="shared" si="13"/>
        <v>-60</v>
      </c>
      <c r="E97" s="28" t="s">
        <v>161</v>
      </c>
      <c r="F97" s="27">
        <f t="shared" si="12"/>
        <v>98539.525000000038</v>
      </c>
      <c r="G97" s="77"/>
      <c r="H97" s="77">
        <v>7850</v>
      </c>
      <c r="I97" s="78">
        <f t="shared" si="19"/>
        <v>60</v>
      </c>
      <c r="J97" s="77"/>
      <c r="K97" s="38"/>
      <c r="L97" s="7"/>
      <c r="U97" s="61">
        <f>SUM(I97)</f>
        <v>60</v>
      </c>
      <c r="V97" s="63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Z97" s="61">
        <f t="shared" si="18"/>
        <v>0</v>
      </c>
    </row>
    <row r="98" spans="1:52" ht="12.75" customHeight="1" x14ac:dyDescent="0.3">
      <c r="A98" s="8">
        <v>4</v>
      </c>
      <c r="B98" s="20" t="s">
        <v>160</v>
      </c>
      <c r="C98" s="30">
        <v>1833.35</v>
      </c>
      <c r="D98" s="29">
        <f t="shared" si="13"/>
        <v>-1833.35</v>
      </c>
      <c r="E98" s="28" t="s">
        <v>159</v>
      </c>
      <c r="F98" s="27">
        <f t="shared" si="12"/>
        <v>96706.175000000032</v>
      </c>
      <c r="G98" s="79"/>
      <c r="H98" s="77">
        <v>6590</v>
      </c>
      <c r="I98" s="78">
        <f t="shared" si="19"/>
        <v>1833.35</v>
      </c>
      <c r="J98" s="77"/>
      <c r="K98" s="38"/>
      <c r="L98" s="7"/>
      <c r="U98" s="61"/>
      <c r="V98" s="63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P98" s="31">
        <f>SUM(I98)</f>
        <v>1833.35</v>
      </c>
      <c r="AQ98" s="31"/>
      <c r="AR98" s="31"/>
      <c r="AS98" s="31"/>
      <c r="AZ98" s="61">
        <f t="shared" si="18"/>
        <v>0</v>
      </c>
    </row>
    <row r="99" spans="1:52" ht="12.75" customHeight="1" x14ac:dyDescent="0.3">
      <c r="A99" s="8">
        <v>4</v>
      </c>
      <c r="B99" s="20" t="s">
        <v>369</v>
      </c>
      <c r="C99" s="30">
        <v>1500</v>
      </c>
      <c r="D99" s="29">
        <f t="shared" si="13"/>
        <v>-1500</v>
      </c>
      <c r="E99" s="28">
        <v>43939</v>
      </c>
      <c r="F99" s="27">
        <f t="shared" si="12"/>
        <v>95206.175000000032</v>
      </c>
      <c r="G99" s="79"/>
      <c r="H99" s="77"/>
      <c r="I99" s="78">
        <f t="shared" si="19"/>
        <v>1500</v>
      </c>
      <c r="J99" s="77"/>
      <c r="K99" s="38"/>
      <c r="L99" s="7"/>
      <c r="U99" s="61"/>
      <c r="V99" s="63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P99" s="31"/>
      <c r="AQ99" s="31"/>
      <c r="AR99" s="31"/>
      <c r="AS99" s="31"/>
      <c r="AY99" s="63">
        <v>1500</v>
      </c>
      <c r="AZ99" s="61">
        <f t="shared" si="18"/>
        <v>0</v>
      </c>
    </row>
    <row r="100" spans="1:52" ht="12.75" customHeight="1" x14ac:dyDescent="0.3">
      <c r="A100" s="8">
        <v>4</v>
      </c>
      <c r="B100" s="32" t="s">
        <v>155</v>
      </c>
      <c r="C100" s="31">
        <f>SUM(C93)</f>
        <v>18100</v>
      </c>
      <c r="D100" s="29">
        <f t="shared" si="13"/>
        <v>-18100</v>
      </c>
      <c r="E100" s="28" t="s">
        <v>154</v>
      </c>
      <c r="F100" s="27">
        <f t="shared" si="12"/>
        <v>77106.175000000032</v>
      </c>
      <c r="G100" s="77"/>
      <c r="H100" s="77">
        <v>8570</v>
      </c>
      <c r="I100" s="80">
        <v>1375</v>
      </c>
      <c r="J100" s="77" t="s">
        <v>207</v>
      </c>
      <c r="K100" s="38" t="s">
        <v>207</v>
      </c>
      <c r="L100" s="7">
        <v>8510</v>
      </c>
      <c r="M100" s="38">
        <v>13600</v>
      </c>
      <c r="N100" s="50">
        <v>8250</v>
      </c>
      <c r="O100" s="38">
        <v>1000</v>
      </c>
      <c r="P100" s="50">
        <v>8530</v>
      </c>
      <c r="Q100" s="123">
        <v>2000</v>
      </c>
      <c r="R100" s="50">
        <v>8590</v>
      </c>
      <c r="S100" s="38">
        <v>125</v>
      </c>
      <c r="T100" s="51">
        <f>SUM(I100+M100+O100+Q100+S100)</f>
        <v>18100</v>
      </c>
      <c r="U100" s="61"/>
      <c r="V100" s="63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>
        <f>SUM(I100)</f>
        <v>1375</v>
      </c>
      <c r="AH100" s="31">
        <f>SUM(M100)</f>
        <v>13600</v>
      </c>
      <c r="AI100" s="31">
        <f>SUM(O100)</f>
        <v>1000</v>
      </c>
      <c r="AJ100" s="31">
        <f>SUM(Q100)</f>
        <v>2000</v>
      </c>
      <c r="AK100" s="31">
        <f>SUM(S100)</f>
        <v>125</v>
      </c>
      <c r="AL100" s="31"/>
      <c r="AM100" s="31"/>
      <c r="AN100" s="31"/>
      <c r="AO100" s="31"/>
      <c r="AP100" s="31"/>
      <c r="AQ100" s="31"/>
      <c r="AR100" s="31"/>
      <c r="AS100" s="31"/>
      <c r="AZ100" s="61">
        <f t="shared" si="18"/>
        <v>0</v>
      </c>
    </row>
    <row r="101" spans="1:52" ht="12.75" customHeight="1" x14ac:dyDescent="0.3">
      <c r="A101" s="8">
        <v>4</v>
      </c>
      <c r="B101" s="32" t="s">
        <v>153</v>
      </c>
      <c r="C101" s="31">
        <v>100</v>
      </c>
      <c r="D101" s="29">
        <f t="shared" si="13"/>
        <v>-100</v>
      </c>
      <c r="E101" s="28" t="s">
        <v>152</v>
      </c>
      <c r="F101" s="27">
        <f t="shared" si="12"/>
        <v>77006.175000000032</v>
      </c>
      <c r="G101" s="77"/>
      <c r="H101" s="77">
        <v>7850</v>
      </c>
      <c r="I101" s="78">
        <f>C101</f>
        <v>100</v>
      </c>
      <c r="J101" s="77"/>
      <c r="K101" s="38"/>
      <c r="L101" s="7"/>
      <c r="U101" s="61">
        <f>SUM(I101)</f>
        <v>100</v>
      </c>
      <c r="V101" s="63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Z101" s="61">
        <f t="shared" si="18"/>
        <v>0</v>
      </c>
    </row>
    <row r="102" spans="1:52" ht="12.75" customHeight="1" x14ac:dyDescent="0.3">
      <c r="A102" s="8">
        <v>4</v>
      </c>
      <c r="B102" s="20" t="s">
        <v>266</v>
      </c>
      <c r="C102" s="31">
        <f>SUM('CCD - Mnthly Bills'!C20)</f>
        <v>1523.3625000000002</v>
      </c>
      <c r="D102" s="29">
        <f t="shared" si="13"/>
        <v>-1523.3625000000002</v>
      </c>
      <c r="E102" s="28" t="s">
        <v>151</v>
      </c>
      <c r="F102" s="27">
        <f t="shared" si="12"/>
        <v>75482.812500000029</v>
      </c>
      <c r="G102" s="77"/>
      <c r="H102" s="570" t="s">
        <v>264</v>
      </c>
      <c r="I102" s="570"/>
      <c r="J102" s="77"/>
      <c r="K102" s="38"/>
      <c r="L102" s="7"/>
      <c r="U102" s="61"/>
      <c r="V102" s="63"/>
      <c r="W102" s="31">
        <f>SUM(W72)</f>
        <v>104.73750000000001</v>
      </c>
      <c r="X102" s="31"/>
      <c r="Y102" s="31">
        <f>SUM(Y72)</f>
        <v>778.6875</v>
      </c>
      <c r="Z102" s="31"/>
      <c r="AA102" s="31">
        <f>SUM(AA72)</f>
        <v>375</v>
      </c>
      <c r="AB102" s="31"/>
      <c r="AC102" s="31"/>
      <c r="AD102" s="31">
        <f>SUM(AD72)</f>
        <v>90</v>
      </c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>
        <f>SUM(AQ72)</f>
        <v>111.1875</v>
      </c>
      <c r="AR102" s="31">
        <f>SUM(AR72)</f>
        <v>63.75</v>
      </c>
      <c r="AS102" s="31"/>
      <c r="AZ102" s="61">
        <f t="shared" si="18"/>
        <v>0</v>
      </c>
    </row>
    <row r="103" spans="1:52" ht="12.75" customHeight="1" x14ac:dyDescent="0.3">
      <c r="A103" s="8">
        <v>4</v>
      </c>
      <c r="B103" s="32" t="s">
        <v>150</v>
      </c>
      <c r="C103" s="31">
        <v>458.65</v>
      </c>
      <c r="D103" s="29">
        <f t="shared" si="13"/>
        <v>-458.65</v>
      </c>
      <c r="E103" s="28" t="s">
        <v>149</v>
      </c>
      <c r="F103" s="27">
        <f t="shared" si="12"/>
        <v>75024.162500000035</v>
      </c>
      <c r="G103" s="77"/>
      <c r="H103" s="77">
        <v>7910</v>
      </c>
      <c r="I103" s="78">
        <f>C103</f>
        <v>458.65</v>
      </c>
      <c r="J103" s="77"/>
      <c r="K103" s="38"/>
      <c r="L103" s="7"/>
      <c r="U103" s="61"/>
      <c r="V103" s="63">
        <f>SUM(I103)</f>
        <v>458.65</v>
      </c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Z103" s="61">
        <f t="shared" si="18"/>
        <v>0</v>
      </c>
    </row>
    <row r="104" spans="1:52" ht="12.75" customHeight="1" x14ac:dyDescent="0.3">
      <c r="A104" s="135">
        <v>4</v>
      </c>
      <c r="B104" s="136" t="s">
        <v>157</v>
      </c>
      <c r="C104" s="149"/>
      <c r="D104" s="150">
        <v>40630.800000000003</v>
      </c>
      <c r="E104" s="139" t="s">
        <v>179</v>
      </c>
      <c r="F104" s="140">
        <f t="shared" si="12"/>
        <v>115654.96250000004</v>
      </c>
      <c r="G104" s="77"/>
      <c r="H104" s="77" t="s">
        <v>207</v>
      </c>
      <c r="I104" s="77" t="s">
        <v>207</v>
      </c>
      <c r="J104" s="77"/>
      <c r="K104" s="38"/>
      <c r="L104" s="7"/>
      <c r="U104" s="61"/>
      <c r="V104" s="63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Z104" s="61">
        <f t="shared" si="18"/>
        <v>0</v>
      </c>
    </row>
    <row r="105" spans="1:52" ht="12.75" customHeight="1" x14ac:dyDescent="0.3">
      <c r="A105" s="8">
        <v>4</v>
      </c>
      <c r="B105" s="32" t="s">
        <v>148</v>
      </c>
      <c r="C105" s="31">
        <v>150</v>
      </c>
      <c r="D105" s="29">
        <f t="shared" ref="D105:D154" si="20">SUM(C105*-1)</f>
        <v>-150</v>
      </c>
      <c r="E105" s="28" t="s">
        <v>147</v>
      </c>
      <c r="F105" s="27">
        <f t="shared" si="12"/>
        <v>115504.96250000004</v>
      </c>
      <c r="G105" s="77"/>
      <c r="H105" s="77">
        <v>7950</v>
      </c>
      <c r="I105" s="78">
        <f t="shared" ref="I105:I112" si="21">C105</f>
        <v>150</v>
      </c>
      <c r="J105" s="77"/>
      <c r="K105" s="38"/>
      <c r="L105" s="7"/>
      <c r="U105" s="61"/>
      <c r="V105" s="63"/>
      <c r="W105" s="31">
        <f>SUM(I105)</f>
        <v>150</v>
      </c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Z105" s="61">
        <f t="shared" si="18"/>
        <v>0</v>
      </c>
    </row>
    <row r="106" spans="1:52" ht="12.75" customHeight="1" x14ac:dyDescent="0.3">
      <c r="A106" s="8">
        <v>4</v>
      </c>
      <c r="B106" s="32" t="s">
        <v>146</v>
      </c>
      <c r="C106" s="31">
        <v>149.99</v>
      </c>
      <c r="D106" s="29">
        <f t="shared" si="20"/>
        <v>-149.99</v>
      </c>
      <c r="E106" s="28" t="s">
        <v>145</v>
      </c>
      <c r="F106" s="27">
        <f t="shared" si="12"/>
        <v>115354.97250000003</v>
      </c>
      <c r="G106" s="77"/>
      <c r="H106" s="77">
        <v>7950</v>
      </c>
      <c r="I106" s="78">
        <f t="shared" si="21"/>
        <v>149.99</v>
      </c>
      <c r="J106" s="77"/>
      <c r="K106" s="38"/>
      <c r="L106" s="7"/>
      <c r="U106" s="61"/>
      <c r="V106" s="63"/>
      <c r="W106" s="31">
        <f>SUM(I106)</f>
        <v>149.99</v>
      </c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Z106" s="61">
        <f t="shared" si="18"/>
        <v>0</v>
      </c>
    </row>
    <row r="107" spans="1:52" ht="12.75" customHeight="1" x14ac:dyDescent="0.3">
      <c r="A107" s="8">
        <v>4</v>
      </c>
      <c r="B107" s="32" t="s">
        <v>144</v>
      </c>
      <c r="C107" s="31">
        <v>300</v>
      </c>
      <c r="D107" s="29">
        <f t="shared" si="20"/>
        <v>-300</v>
      </c>
      <c r="E107" s="28" t="s">
        <v>138</v>
      </c>
      <c r="F107" s="27">
        <f t="shared" si="12"/>
        <v>115054.97250000003</v>
      </c>
      <c r="G107" s="77"/>
      <c r="H107" s="77">
        <v>7950</v>
      </c>
      <c r="I107" s="78">
        <f t="shared" si="21"/>
        <v>300</v>
      </c>
      <c r="J107" s="77"/>
      <c r="K107" s="38"/>
      <c r="L107" s="7"/>
      <c r="U107" s="61"/>
      <c r="V107" s="63"/>
      <c r="W107" s="31">
        <f>SUM(I107)</f>
        <v>300</v>
      </c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Z107" s="61">
        <f t="shared" si="18"/>
        <v>0</v>
      </c>
    </row>
    <row r="108" spans="1:52" ht="12.75" customHeight="1" x14ac:dyDescent="0.3">
      <c r="A108" s="8">
        <v>4</v>
      </c>
      <c r="B108" s="20" t="s">
        <v>143</v>
      </c>
      <c r="C108" s="31">
        <v>75</v>
      </c>
      <c r="D108" s="29">
        <f t="shared" si="20"/>
        <v>-75</v>
      </c>
      <c r="E108" s="28" t="s">
        <v>138</v>
      </c>
      <c r="F108" s="27">
        <f t="shared" si="12"/>
        <v>114979.97250000003</v>
      </c>
      <c r="G108" s="77"/>
      <c r="H108" s="77">
        <v>7950</v>
      </c>
      <c r="I108" s="78">
        <f t="shared" si="21"/>
        <v>75</v>
      </c>
      <c r="J108" s="77"/>
      <c r="K108" s="38"/>
      <c r="L108" s="7"/>
      <c r="U108" s="61"/>
      <c r="V108" s="63"/>
      <c r="W108" s="31">
        <f>SUM(I108)</f>
        <v>75</v>
      </c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Z108" s="61">
        <f t="shared" si="18"/>
        <v>0</v>
      </c>
    </row>
    <row r="109" spans="1:52" ht="12.75" customHeight="1" x14ac:dyDescent="0.3">
      <c r="A109" s="8">
        <v>4</v>
      </c>
      <c r="B109" s="32" t="s">
        <v>142</v>
      </c>
      <c r="C109" s="31">
        <v>2500</v>
      </c>
      <c r="D109" s="29">
        <f t="shared" si="20"/>
        <v>-2500</v>
      </c>
      <c r="E109" s="28" t="s">
        <v>140</v>
      </c>
      <c r="F109" s="27">
        <f t="shared" si="12"/>
        <v>112479.97250000003</v>
      </c>
      <c r="G109" s="77"/>
      <c r="H109" s="77">
        <v>5710</v>
      </c>
      <c r="I109" s="78">
        <f t="shared" si="21"/>
        <v>2500</v>
      </c>
      <c r="J109" s="77"/>
      <c r="K109" s="38"/>
      <c r="L109" s="7"/>
      <c r="U109" s="61"/>
      <c r="V109" s="63"/>
      <c r="W109" s="31"/>
      <c r="X109" s="31"/>
      <c r="Y109" s="31"/>
      <c r="Z109" s="31">
        <f>SUM(I109)</f>
        <v>2500</v>
      </c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Z109" s="61">
        <f t="shared" si="18"/>
        <v>0</v>
      </c>
    </row>
    <row r="110" spans="1:52" ht="12.75" customHeight="1" x14ac:dyDescent="0.3">
      <c r="A110" s="8">
        <v>4</v>
      </c>
      <c r="B110" s="32" t="s">
        <v>141</v>
      </c>
      <c r="C110" s="31">
        <v>1080</v>
      </c>
      <c r="D110" s="29">
        <f t="shared" si="20"/>
        <v>-1080</v>
      </c>
      <c r="E110" s="28" t="s">
        <v>140</v>
      </c>
      <c r="F110" s="27">
        <f t="shared" si="12"/>
        <v>111399.97250000003</v>
      </c>
      <c r="G110" s="77"/>
      <c r="H110" s="77">
        <v>6730</v>
      </c>
      <c r="I110" s="78">
        <f t="shared" si="21"/>
        <v>1080</v>
      </c>
      <c r="J110" s="77"/>
      <c r="K110" s="38"/>
      <c r="L110" s="7"/>
      <c r="U110" s="61"/>
      <c r="V110" s="63"/>
      <c r="W110" s="31"/>
      <c r="X110" s="31">
        <f>SUM(I110)</f>
        <v>1080</v>
      </c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Z110" s="61">
        <f t="shared" si="18"/>
        <v>0</v>
      </c>
    </row>
    <row r="111" spans="1:52" ht="12.75" customHeight="1" x14ac:dyDescent="0.3">
      <c r="A111" s="8">
        <v>4</v>
      </c>
      <c r="B111" s="32" t="s">
        <v>139</v>
      </c>
      <c r="C111" s="31">
        <v>750</v>
      </c>
      <c r="D111" s="29">
        <f t="shared" si="20"/>
        <v>-750</v>
      </c>
      <c r="E111" s="28" t="s">
        <v>138</v>
      </c>
      <c r="F111" s="27">
        <f t="shared" si="12"/>
        <v>110649.97250000003</v>
      </c>
      <c r="G111" s="77"/>
      <c r="H111" s="77">
        <v>7010</v>
      </c>
      <c r="I111" s="78">
        <f t="shared" si="21"/>
        <v>750</v>
      </c>
      <c r="J111" s="77"/>
      <c r="K111" s="38"/>
      <c r="L111" s="7"/>
      <c r="U111" s="61"/>
      <c r="V111" s="63"/>
      <c r="W111" s="31"/>
      <c r="X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V111" s="31">
        <f>SUM(I111)</f>
        <v>750</v>
      </c>
      <c r="AW111" s="31"/>
      <c r="AX111" s="31"/>
      <c r="AZ111" s="61">
        <f t="shared" si="18"/>
        <v>0</v>
      </c>
    </row>
    <row r="112" spans="1:52" ht="12.75" customHeight="1" thickBot="1" x14ac:dyDescent="0.35">
      <c r="A112" s="215">
        <v>4</v>
      </c>
      <c r="B112" s="216" t="s">
        <v>348</v>
      </c>
      <c r="C112" s="217">
        <v>5000</v>
      </c>
      <c r="D112" s="218">
        <f t="shared" ref="D112" si="22">SUM(C112*-1)</f>
        <v>-5000</v>
      </c>
      <c r="E112" s="219" t="s">
        <v>138</v>
      </c>
      <c r="F112" s="220">
        <f t="shared" si="12"/>
        <v>105649.97250000003</v>
      </c>
      <c r="G112" s="77"/>
      <c r="H112" s="77">
        <v>5130</v>
      </c>
      <c r="I112" s="78">
        <f t="shared" si="21"/>
        <v>5000</v>
      </c>
      <c r="J112" s="77"/>
      <c r="K112" s="38"/>
      <c r="L112" s="7"/>
      <c r="U112" s="100"/>
      <c r="V112" s="99"/>
      <c r="W112" s="99"/>
      <c r="X112" s="99"/>
      <c r="Y112" s="99"/>
      <c r="Z112" s="99"/>
      <c r="AA112" s="99">
        <f>SUM(I112)</f>
        <v>5000</v>
      </c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73"/>
      <c r="AU112" s="73"/>
      <c r="AV112" s="73"/>
      <c r="AW112" s="73"/>
      <c r="AX112" s="73"/>
      <c r="AY112" s="73"/>
      <c r="AZ112" s="100">
        <f t="shared" si="18"/>
        <v>0</v>
      </c>
    </row>
    <row r="113" spans="1:52" ht="12.75" customHeight="1" x14ac:dyDescent="0.3">
      <c r="B113" s="32"/>
      <c r="C113" s="31"/>
      <c r="D113" s="29"/>
      <c r="E113" s="115" t="s">
        <v>285</v>
      </c>
      <c r="F113" s="27">
        <f t="shared" si="12"/>
        <v>105649.97250000003</v>
      </c>
      <c r="G113" s="77"/>
      <c r="H113" s="77"/>
      <c r="I113" s="78"/>
      <c r="J113" s="77"/>
      <c r="K113" s="38"/>
      <c r="L113" s="7"/>
      <c r="U113" s="107">
        <f>SUM(U85:U112)</f>
        <v>294.95</v>
      </c>
      <c r="V113" s="108">
        <f>SUM(V85:V112)</f>
        <v>708.65</v>
      </c>
      <c r="W113" s="108">
        <f t="shared" ref="W113:AY113" si="23">SUM(W85:W112)</f>
        <v>779.72749999999996</v>
      </c>
      <c r="X113" s="108">
        <f t="shared" si="23"/>
        <v>1080</v>
      </c>
      <c r="Y113" s="108">
        <f t="shared" si="23"/>
        <v>778.6875</v>
      </c>
      <c r="Z113" s="108">
        <f t="shared" si="23"/>
        <v>2500</v>
      </c>
      <c r="AA113" s="108">
        <f t="shared" si="23"/>
        <v>5375</v>
      </c>
      <c r="AB113" s="108">
        <f t="shared" si="23"/>
        <v>7500</v>
      </c>
      <c r="AC113" s="108">
        <f t="shared" si="23"/>
        <v>2350</v>
      </c>
      <c r="AD113" s="108">
        <f t="shared" si="23"/>
        <v>1674</v>
      </c>
      <c r="AE113" s="108">
        <f t="shared" si="23"/>
        <v>8333</v>
      </c>
      <c r="AF113" s="108">
        <f t="shared" si="23"/>
        <v>150</v>
      </c>
      <c r="AG113" s="108">
        <f t="shared" si="23"/>
        <v>2750</v>
      </c>
      <c r="AH113" s="108">
        <f t="shared" si="23"/>
        <v>27200</v>
      </c>
      <c r="AI113" s="108">
        <f t="shared" si="23"/>
        <v>2000</v>
      </c>
      <c r="AJ113" s="108">
        <f t="shared" si="23"/>
        <v>4000</v>
      </c>
      <c r="AK113" s="108">
        <f t="shared" si="23"/>
        <v>250</v>
      </c>
      <c r="AL113" s="108">
        <f t="shared" si="23"/>
        <v>0</v>
      </c>
      <c r="AM113" s="108">
        <f t="shared" si="23"/>
        <v>200</v>
      </c>
      <c r="AN113" s="108">
        <f t="shared" si="23"/>
        <v>625</v>
      </c>
      <c r="AO113" s="108">
        <f t="shared" si="23"/>
        <v>0</v>
      </c>
      <c r="AP113" s="108">
        <f t="shared" si="23"/>
        <v>1833.35</v>
      </c>
      <c r="AQ113" s="108">
        <f t="shared" si="23"/>
        <v>111.1875</v>
      </c>
      <c r="AR113" s="108">
        <f t="shared" si="23"/>
        <v>63.75</v>
      </c>
      <c r="AS113" s="108">
        <f t="shared" si="23"/>
        <v>0</v>
      </c>
      <c r="AT113" s="108">
        <f t="shared" si="23"/>
        <v>0</v>
      </c>
      <c r="AU113" s="108">
        <f t="shared" si="23"/>
        <v>0</v>
      </c>
      <c r="AV113" s="108">
        <f t="shared" si="23"/>
        <v>750</v>
      </c>
      <c r="AW113" s="108">
        <f t="shared" si="23"/>
        <v>0</v>
      </c>
      <c r="AX113" s="108">
        <f t="shared" si="23"/>
        <v>5000</v>
      </c>
      <c r="AY113" s="108">
        <f t="shared" si="23"/>
        <v>3250</v>
      </c>
      <c r="AZ113" s="61"/>
    </row>
    <row r="114" spans="1:52" ht="12.75" customHeight="1" x14ac:dyDescent="0.3">
      <c r="A114" s="403">
        <v>5</v>
      </c>
      <c r="B114" s="398" t="s">
        <v>388</v>
      </c>
      <c r="C114" s="399">
        <f>SUM(C85)</f>
        <v>5000</v>
      </c>
      <c r="D114" s="400">
        <f t="shared" ref="D114" si="24">SUM(C114*-1)</f>
        <v>-5000</v>
      </c>
      <c r="E114" s="401" t="s">
        <v>390</v>
      </c>
      <c r="F114" s="412">
        <f t="shared" si="12"/>
        <v>100649.97250000003</v>
      </c>
      <c r="G114" s="77"/>
      <c r="H114" s="77"/>
      <c r="I114" s="78"/>
      <c r="J114" s="77"/>
      <c r="K114" s="38"/>
      <c r="L114" s="7"/>
      <c r="U114" s="61"/>
      <c r="V114" s="63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X114" s="31">
        <f>SUM(C114)</f>
        <v>5000</v>
      </c>
      <c r="AZ114" s="61">
        <f t="shared" ref="AZ114:AZ139" si="25">SUM(U114:AY114)-C114</f>
        <v>0</v>
      </c>
    </row>
    <row r="115" spans="1:52" s="7" customFormat="1" ht="12.75" customHeight="1" x14ac:dyDescent="0.2">
      <c r="A115" s="42">
        <v>5</v>
      </c>
      <c r="B115" s="43" t="s">
        <v>177</v>
      </c>
      <c r="C115" s="44">
        <v>2000</v>
      </c>
      <c r="D115" s="46">
        <f t="shared" si="20"/>
        <v>-2000</v>
      </c>
      <c r="E115" s="47" t="s">
        <v>170</v>
      </c>
      <c r="F115" s="27">
        <f t="shared" si="12"/>
        <v>98649.972500000033</v>
      </c>
      <c r="G115" s="77"/>
      <c r="H115" s="77"/>
      <c r="I115" s="78"/>
      <c r="J115" s="77"/>
      <c r="K115" s="38"/>
      <c r="U115" s="61"/>
      <c r="V115" s="63"/>
      <c r="W115" s="31">
        <v>250</v>
      </c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Y115" s="63">
        <v>1750</v>
      </c>
      <c r="AZ115" s="61">
        <f t="shared" si="25"/>
        <v>0</v>
      </c>
    </row>
    <row r="116" spans="1:52" s="7" customFormat="1" ht="12.75" customHeight="1" x14ac:dyDescent="0.2">
      <c r="A116" s="42">
        <v>5</v>
      </c>
      <c r="B116" s="43" t="s">
        <v>176</v>
      </c>
      <c r="C116" s="44">
        <v>7500</v>
      </c>
      <c r="D116" s="46">
        <f t="shared" si="20"/>
        <v>-7500</v>
      </c>
      <c r="E116" s="47" t="s">
        <v>170</v>
      </c>
      <c r="F116" s="27">
        <f t="shared" si="12"/>
        <v>91149.972500000033</v>
      </c>
      <c r="G116" s="77"/>
      <c r="H116" s="77">
        <v>5510</v>
      </c>
      <c r="I116" s="78">
        <f>C116</f>
        <v>7500</v>
      </c>
      <c r="J116" s="77"/>
      <c r="K116" s="38"/>
      <c r="U116" s="61"/>
      <c r="V116" s="63"/>
      <c r="W116" s="31"/>
      <c r="X116" s="31"/>
      <c r="Y116" s="31"/>
      <c r="Z116" s="31"/>
      <c r="AA116" s="31"/>
      <c r="AB116" s="31">
        <f>SUM(I116)</f>
        <v>7500</v>
      </c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Y116" s="62"/>
      <c r="AZ116" s="61">
        <f t="shared" si="25"/>
        <v>0</v>
      </c>
    </row>
    <row r="117" spans="1:52" s="7" customFormat="1" ht="12.75" customHeight="1" x14ac:dyDescent="0.2">
      <c r="A117" s="42">
        <v>5</v>
      </c>
      <c r="B117" s="43" t="s">
        <v>175</v>
      </c>
      <c r="C117" s="44">
        <v>550</v>
      </c>
      <c r="D117" s="46">
        <f t="shared" si="20"/>
        <v>-550</v>
      </c>
      <c r="E117" s="47" t="s">
        <v>170</v>
      </c>
      <c r="F117" s="27">
        <f t="shared" si="12"/>
        <v>90599.972500000033</v>
      </c>
      <c r="G117" s="77"/>
      <c r="H117" s="77">
        <v>7650</v>
      </c>
      <c r="I117" s="78">
        <f>C117</f>
        <v>550</v>
      </c>
      <c r="J117" s="77"/>
      <c r="K117" s="38"/>
      <c r="U117" s="61"/>
      <c r="V117" s="63"/>
      <c r="W117" s="31"/>
      <c r="X117" s="31"/>
      <c r="Y117" s="31"/>
      <c r="Z117" s="31"/>
      <c r="AA117" s="31"/>
      <c r="AB117" s="31"/>
      <c r="AC117" s="31">
        <f>SUM(I117)</f>
        <v>550</v>
      </c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Y117" s="62"/>
      <c r="AZ117" s="61">
        <f t="shared" si="25"/>
        <v>0</v>
      </c>
    </row>
    <row r="118" spans="1:52" s="7" customFormat="1" ht="12.75" customHeight="1" x14ac:dyDescent="0.2">
      <c r="A118" s="42">
        <v>5</v>
      </c>
      <c r="B118" s="43" t="s">
        <v>174</v>
      </c>
      <c r="C118" s="44">
        <v>1800</v>
      </c>
      <c r="D118" s="46">
        <f t="shared" si="20"/>
        <v>-1800</v>
      </c>
      <c r="E118" s="47" t="s">
        <v>173</v>
      </c>
      <c r="F118" s="27">
        <f t="shared" si="12"/>
        <v>88799.972500000033</v>
      </c>
      <c r="G118" s="77"/>
      <c r="H118" s="77">
        <v>7650</v>
      </c>
      <c r="I118" s="78">
        <f>C118</f>
        <v>1800</v>
      </c>
      <c r="J118" s="77"/>
      <c r="K118" s="38"/>
      <c r="U118" s="61"/>
      <c r="V118" s="63"/>
      <c r="W118" s="31"/>
      <c r="X118" s="31"/>
      <c r="Y118" s="31"/>
      <c r="Z118" s="31"/>
      <c r="AA118" s="31"/>
      <c r="AB118" s="31"/>
      <c r="AC118" s="31">
        <f>SUM(I118)</f>
        <v>1800</v>
      </c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Y118" s="62"/>
      <c r="AZ118" s="61">
        <f t="shared" si="25"/>
        <v>0</v>
      </c>
    </row>
    <row r="119" spans="1:52" s="7" customFormat="1" ht="12.75" customHeight="1" x14ac:dyDescent="0.2">
      <c r="A119" s="8">
        <v>5</v>
      </c>
      <c r="B119" s="32" t="s">
        <v>172</v>
      </c>
      <c r="C119" s="31">
        <v>9917</v>
      </c>
      <c r="D119" s="29">
        <f t="shared" si="20"/>
        <v>-9917</v>
      </c>
      <c r="E119" s="28" t="s">
        <v>170</v>
      </c>
      <c r="F119" s="27">
        <f t="shared" si="12"/>
        <v>78882.972500000033</v>
      </c>
      <c r="G119" s="77"/>
      <c r="H119" s="77">
        <v>5750</v>
      </c>
      <c r="I119" s="80">
        <v>1584</v>
      </c>
      <c r="J119" s="77">
        <v>5520</v>
      </c>
      <c r="K119" s="38">
        <v>8333</v>
      </c>
      <c r="U119" s="61"/>
      <c r="V119" s="63"/>
      <c r="W119" s="31"/>
      <c r="X119" s="31"/>
      <c r="Y119" s="31"/>
      <c r="Z119" s="31"/>
      <c r="AA119" s="31"/>
      <c r="AB119" s="31"/>
      <c r="AC119" s="31"/>
      <c r="AD119" s="31">
        <f>SUM(I119)</f>
        <v>1584</v>
      </c>
      <c r="AE119" s="31">
        <f>SUM(K119)</f>
        <v>8333</v>
      </c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Y119" s="62"/>
      <c r="AZ119" s="61">
        <f t="shared" si="25"/>
        <v>0</v>
      </c>
    </row>
    <row r="120" spans="1:52" s="7" customFormat="1" ht="12.75" customHeight="1" x14ac:dyDescent="0.2">
      <c r="A120" s="8">
        <v>5</v>
      </c>
      <c r="B120" s="32" t="s">
        <v>171</v>
      </c>
      <c r="C120" s="31">
        <v>34.950000000000003</v>
      </c>
      <c r="D120" s="29">
        <f t="shared" si="20"/>
        <v>-34.950000000000003</v>
      </c>
      <c r="E120" s="28" t="s">
        <v>170</v>
      </c>
      <c r="F120" s="27">
        <f t="shared" si="12"/>
        <v>78848.022500000036</v>
      </c>
      <c r="G120" s="77"/>
      <c r="H120" s="77">
        <v>7850</v>
      </c>
      <c r="I120" s="78">
        <f>C120</f>
        <v>34.950000000000003</v>
      </c>
      <c r="J120" s="77"/>
      <c r="K120" s="38"/>
      <c r="U120" s="61">
        <f>SUM(I120)</f>
        <v>34.950000000000003</v>
      </c>
      <c r="V120" s="63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Y120" s="62"/>
      <c r="AZ120" s="61">
        <f t="shared" si="25"/>
        <v>0</v>
      </c>
    </row>
    <row r="121" spans="1:52" s="7" customFormat="1" ht="12.75" customHeight="1" x14ac:dyDescent="0.2">
      <c r="A121" s="8">
        <v>5</v>
      </c>
      <c r="B121" s="32" t="s">
        <v>169</v>
      </c>
      <c r="C121" s="31">
        <v>150</v>
      </c>
      <c r="D121" s="29">
        <f t="shared" si="20"/>
        <v>-150</v>
      </c>
      <c r="E121" s="28" t="s">
        <v>168</v>
      </c>
      <c r="F121" s="27">
        <f t="shared" si="12"/>
        <v>78698.022500000036</v>
      </c>
      <c r="G121" s="77"/>
      <c r="H121" s="77">
        <v>7090</v>
      </c>
      <c r="I121" s="78">
        <f>C121</f>
        <v>150</v>
      </c>
      <c r="J121" s="77"/>
      <c r="K121" s="38"/>
      <c r="U121" s="61"/>
      <c r="V121" s="63"/>
      <c r="W121" s="31"/>
      <c r="X121" s="31"/>
      <c r="Y121" s="31"/>
      <c r="Z121" s="31"/>
      <c r="AA121" s="31"/>
      <c r="AB121" s="31"/>
      <c r="AC121" s="31"/>
      <c r="AD121" s="31"/>
      <c r="AE121" s="31"/>
      <c r="AF121" s="31">
        <f>SUM(I121)</f>
        <v>150</v>
      </c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Y121" s="62"/>
      <c r="AZ121" s="61">
        <f t="shared" si="25"/>
        <v>0</v>
      </c>
    </row>
    <row r="122" spans="1:52" s="7" customFormat="1" ht="12.75" customHeight="1" x14ac:dyDescent="0.2">
      <c r="A122" s="42">
        <v>5</v>
      </c>
      <c r="B122" s="43" t="s">
        <v>155</v>
      </c>
      <c r="C122" s="44">
        <f>SUM(C100)</f>
        <v>18100</v>
      </c>
      <c r="D122" s="46">
        <f t="shared" si="20"/>
        <v>-18100</v>
      </c>
      <c r="E122" s="47" t="s">
        <v>167</v>
      </c>
      <c r="F122" s="48">
        <f t="shared" si="12"/>
        <v>60598.022500000036</v>
      </c>
      <c r="G122" s="77"/>
      <c r="H122" s="77">
        <v>8570</v>
      </c>
      <c r="I122" s="80">
        <v>1375</v>
      </c>
      <c r="J122" s="77" t="s">
        <v>207</v>
      </c>
      <c r="K122" s="38" t="s">
        <v>207</v>
      </c>
      <c r="L122" s="7">
        <v>8510</v>
      </c>
      <c r="M122" s="38">
        <v>13600</v>
      </c>
      <c r="N122" s="50">
        <v>8250</v>
      </c>
      <c r="O122" s="38">
        <v>1000</v>
      </c>
      <c r="P122" s="50">
        <v>8530</v>
      </c>
      <c r="Q122" s="123">
        <v>2000</v>
      </c>
      <c r="R122" s="50">
        <v>8590</v>
      </c>
      <c r="S122" s="38">
        <v>125</v>
      </c>
      <c r="T122" s="51">
        <f>SUM(I122+M122+O122+Q122+S122)</f>
        <v>18100</v>
      </c>
      <c r="U122" s="61"/>
      <c r="V122" s="63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>
        <f>SUM(I122)</f>
        <v>1375</v>
      </c>
      <c r="AH122" s="31">
        <f>SUM(M122)</f>
        <v>13600</v>
      </c>
      <c r="AI122" s="31">
        <f>SUM(O122)</f>
        <v>1000</v>
      </c>
      <c r="AJ122" s="31">
        <f>SUM(Q122)</f>
        <v>2000</v>
      </c>
      <c r="AK122" s="31">
        <f>SUM(S122)</f>
        <v>125</v>
      </c>
      <c r="AL122" s="31"/>
      <c r="AM122" s="31"/>
      <c r="AN122" s="31"/>
      <c r="AO122" s="31"/>
      <c r="AP122" s="31"/>
      <c r="AQ122" s="31"/>
      <c r="AR122" s="31"/>
      <c r="AS122" s="31"/>
      <c r="AY122" s="62"/>
      <c r="AZ122" s="61">
        <f t="shared" si="25"/>
        <v>0</v>
      </c>
    </row>
    <row r="123" spans="1:52" s="7" customFormat="1" ht="12.75" customHeight="1" x14ac:dyDescent="0.2">
      <c r="A123" s="8">
        <v>5</v>
      </c>
      <c r="B123" s="32" t="s">
        <v>153</v>
      </c>
      <c r="C123" s="31">
        <v>100</v>
      </c>
      <c r="D123" s="29">
        <f t="shared" si="20"/>
        <v>-100</v>
      </c>
      <c r="E123" s="28" t="s">
        <v>166</v>
      </c>
      <c r="F123" s="27">
        <f t="shared" si="12"/>
        <v>60498.022500000036</v>
      </c>
      <c r="G123" s="77"/>
      <c r="H123" s="77">
        <v>7850</v>
      </c>
      <c r="I123" s="78">
        <f>C123</f>
        <v>100</v>
      </c>
      <c r="J123" s="77"/>
      <c r="K123" s="38"/>
      <c r="U123" s="61">
        <f>SUM(I123)</f>
        <v>100</v>
      </c>
      <c r="V123" s="63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Y123" s="62"/>
      <c r="AZ123" s="61">
        <f t="shared" si="25"/>
        <v>0</v>
      </c>
    </row>
    <row r="124" spans="1:52" s="7" customFormat="1" ht="12.75" customHeight="1" x14ac:dyDescent="0.2">
      <c r="A124" s="8">
        <v>5</v>
      </c>
      <c r="B124" s="32" t="s">
        <v>165</v>
      </c>
      <c r="C124" s="31">
        <v>200</v>
      </c>
      <c r="D124" s="29">
        <f t="shared" si="20"/>
        <v>-200</v>
      </c>
      <c r="E124" s="28" t="s">
        <v>161</v>
      </c>
      <c r="F124" s="27">
        <f t="shared" si="12"/>
        <v>60298.022500000036</v>
      </c>
      <c r="G124" s="77"/>
      <c r="H124" s="77">
        <v>6770</v>
      </c>
      <c r="I124" s="78">
        <f>C124</f>
        <v>200</v>
      </c>
      <c r="J124" s="77"/>
      <c r="K124" s="38"/>
      <c r="U124" s="61"/>
      <c r="V124" s="63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>
        <f>SUM(I124)</f>
        <v>200</v>
      </c>
      <c r="AN124" s="31"/>
      <c r="AO124" s="31"/>
      <c r="AP124" s="31"/>
      <c r="AQ124" s="31"/>
      <c r="AR124" s="31"/>
      <c r="AS124" s="31"/>
      <c r="AY124" s="62"/>
      <c r="AZ124" s="61">
        <f t="shared" si="25"/>
        <v>0</v>
      </c>
    </row>
    <row r="125" spans="1:52" s="7" customFormat="1" ht="12.75" customHeight="1" x14ac:dyDescent="0.2">
      <c r="A125" s="8">
        <v>5</v>
      </c>
      <c r="B125" s="20" t="s">
        <v>164</v>
      </c>
      <c r="C125" s="31">
        <v>625</v>
      </c>
      <c r="D125" s="29">
        <f t="shared" si="20"/>
        <v>-625</v>
      </c>
      <c r="E125" s="28" t="s">
        <v>163</v>
      </c>
      <c r="F125" s="27">
        <f t="shared" si="12"/>
        <v>59673.022500000036</v>
      </c>
      <c r="G125" s="77"/>
      <c r="H125" s="77">
        <v>5540</v>
      </c>
      <c r="I125" s="78">
        <f>C125</f>
        <v>625</v>
      </c>
      <c r="J125" s="77"/>
      <c r="K125" s="38"/>
      <c r="U125" s="61"/>
      <c r="V125" s="63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>
        <f>SUM(I125)</f>
        <v>625</v>
      </c>
      <c r="AO125" s="31"/>
      <c r="AP125" s="31"/>
      <c r="AQ125" s="31"/>
      <c r="AR125" s="31"/>
      <c r="AS125" s="31"/>
      <c r="AY125" s="62"/>
      <c r="AZ125" s="61">
        <f t="shared" si="25"/>
        <v>0</v>
      </c>
    </row>
    <row r="126" spans="1:52" ht="12.75" customHeight="1" x14ac:dyDescent="0.3">
      <c r="A126" s="8">
        <v>5</v>
      </c>
      <c r="B126" s="32" t="s">
        <v>162</v>
      </c>
      <c r="C126" s="31">
        <v>60</v>
      </c>
      <c r="D126" s="29">
        <f t="shared" si="20"/>
        <v>-60</v>
      </c>
      <c r="E126" s="28" t="s">
        <v>161</v>
      </c>
      <c r="F126" s="27">
        <f t="shared" si="12"/>
        <v>59613.022500000036</v>
      </c>
      <c r="G126" s="77"/>
      <c r="H126" s="77">
        <v>7850</v>
      </c>
      <c r="I126" s="78">
        <f>C126</f>
        <v>60</v>
      </c>
      <c r="J126" s="77"/>
      <c r="K126" s="38"/>
      <c r="L126" s="7"/>
      <c r="U126" s="61">
        <f>SUM(I126)</f>
        <v>60</v>
      </c>
      <c r="V126" s="63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Z126" s="61">
        <f t="shared" si="25"/>
        <v>0</v>
      </c>
    </row>
    <row r="127" spans="1:52" ht="12.75" customHeight="1" x14ac:dyDescent="0.3">
      <c r="A127" s="42">
        <v>5</v>
      </c>
      <c r="B127" s="49" t="s">
        <v>160</v>
      </c>
      <c r="C127" s="45">
        <v>1833.35</v>
      </c>
      <c r="D127" s="46">
        <f t="shared" si="20"/>
        <v>-1833.35</v>
      </c>
      <c r="E127" s="47" t="s">
        <v>159</v>
      </c>
      <c r="F127" s="27">
        <f t="shared" si="12"/>
        <v>57779.672500000037</v>
      </c>
      <c r="G127" s="79"/>
      <c r="H127" s="77">
        <v>6590</v>
      </c>
      <c r="I127" s="78">
        <f>C127</f>
        <v>1833.35</v>
      </c>
      <c r="J127" s="77"/>
      <c r="K127" s="38"/>
      <c r="L127" s="7"/>
      <c r="U127" s="61"/>
      <c r="V127" s="63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P127" s="31">
        <f>SUM(I127)</f>
        <v>1833.35</v>
      </c>
      <c r="AQ127" s="31"/>
      <c r="AR127" s="31"/>
      <c r="AS127" s="31"/>
      <c r="AZ127" s="61">
        <f t="shared" si="25"/>
        <v>0</v>
      </c>
    </row>
    <row r="128" spans="1:52" ht="12.75" customHeight="1" x14ac:dyDescent="0.3">
      <c r="A128" s="8">
        <v>5</v>
      </c>
      <c r="B128" s="32" t="s">
        <v>155</v>
      </c>
      <c r="C128" s="31">
        <f>SUM(C122)</f>
        <v>18100</v>
      </c>
      <c r="D128" s="29">
        <f t="shared" si="20"/>
        <v>-18100</v>
      </c>
      <c r="E128" s="28" t="s">
        <v>154</v>
      </c>
      <c r="F128" s="27">
        <f t="shared" si="12"/>
        <v>39679.672500000037</v>
      </c>
      <c r="G128" s="77"/>
      <c r="H128" s="77">
        <v>8570</v>
      </c>
      <c r="I128" s="80">
        <v>1375</v>
      </c>
      <c r="J128" s="77" t="s">
        <v>207</v>
      </c>
      <c r="K128" s="38" t="s">
        <v>207</v>
      </c>
      <c r="L128" s="7">
        <v>8510</v>
      </c>
      <c r="M128" s="38">
        <v>13600</v>
      </c>
      <c r="N128" s="50">
        <v>8250</v>
      </c>
      <c r="O128" s="38">
        <v>1000</v>
      </c>
      <c r="P128" s="50">
        <v>8530</v>
      </c>
      <c r="Q128" s="123">
        <v>2000</v>
      </c>
      <c r="R128" s="50">
        <v>8590</v>
      </c>
      <c r="S128" s="38">
        <v>125</v>
      </c>
      <c r="T128" s="51">
        <f>SUM(I128+M128+O128+Q128+S128)</f>
        <v>18100</v>
      </c>
      <c r="U128" s="61"/>
      <c r="V128" s="63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>
        <f>SUM(I128)</f>
        <v>1375</v>
      </c>
      <c r="AH128" s="31">
        <f>SUM(M128)</f>
        <v>13600</v>
      </c>
      <c r="AI128" s="31">
        <f>SUM(O128)</f>
        <v>1000</v>
      </c>
      <c r="AJ128" s="31">
        <f>SUM(Q128)</f>
        <v>2000</v>
      </c>
      <c r="AK128" s="31">
        <f>SUM(S128)</f>
        <v>125</v>
      </c>
      <c r="AL128" s="31"/>
      <c r="AM128" s="31"/>
      <c r="AN128" s="31"/>
      <c r="AO128" s="31"/>
      <c r="AP128" s="31"/>
      <c r="AQ128" s="31"/>
      <c r="AR128" s="31"/>
      <c r="AS128" s="31"/>
      <c r="AZ128" s="61">
        <f t="shared" si="25"/>
        <v>0</v>
      </c>
    </row>
    <row r="129" spans="1:52" ht="12.75" customHeight="1" x14ac:dyDescent="0.3">
      <c r="A129" s="8">
        <v>5</v>
      </c>
      <c r="B129" s="32" t="s">
        <v>153</v>
      </c>
      <c r="C129" s="31">
        <v>100</v>
      </c>
      <c r="D129" s="29">
        <f t="shared" si="20"/>
        <v>-100</v>
      </c>
      <c r="E129" s="28" t="s">
        <v>152</v>
      </c>
      <c r="F129" s="27">
        <f t="shared" si="12"/>
        <v>39579.672500000037</v>
      </c>
      <c r="G129" s="77"/>
      <c r="H129" s="77">
        <v>7850</v>
      </c>
      <c r="I129" s="78">
        <f>C129</f>
        <v>100</v>
      </c>
      <c r="J129" s="77"/>
      <c r="K129" s="38"/>
      <c r="L129" s="7"/>
      <c r="U129" s="61">
        <f>SUM(I129)</f>
        <v>100</v>
      </c>
      <c r="V129" s="63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Z129" s="61">
        <f t="shared" si="25"/>
        <v>0</v>
      </c>
    </row>
    <row r="130" spans="1:52" ht="12.75" customHeight="1" x14ac:dyDescent="0.3">
      <c r="A130" s="8">
        <v>5</v>
      </c>
      <c r="B130" s="20" t="s">
        <v>266</v>
      </c>
      <c r="C130" s="31">
        <f>SUM('CCD - Mnthly Bills'!C20)</f>
        <v>1523.3625000000002</v>
      </c>
      <c r="D130" s="29">
        <f t="shared" si="20"/>
        <v>-1523.3625000000002</v>
      </c>
      <c r="E130" s="28" t="s">
        <v>268</v>
      </c>
      <c r="F130" s="27">
        <f t="shared" si="12"/>
        <v>38056.310000000034</v>
      </c>
      <c r="G130" s="77"/>
      <c r="H130" s="570" t="s">
        <v>264</v>
      </c>
      <c r="I130" s="570"/>
      <c r="J130" s="77"/>
      <c r="K130" s="38"/>
      <c r="L130" s="7"/>
      <c r="U130" s="61"/>
      <c r="V130" s="63"/>
      <c r="W130" s="31">
        <f>SUM(W102)</f>
        <v>104.73750000000001</v>
      </c>
      <c r="X130" s="31"/>
      <c r="Y130" s="31">
        <f>SUM(Y102)</f>
        <v>778.6875</v>
      </c>
      <c r="Z130" s="31"/>
      <c r="AA130" s="31">
        <f>SUM(AA102)</f>
        <v>375</v>
      </c>
      <c r="AB130" s="31"/>
      <c r="AC130" s="31"/>
      <c r="AD130" s="31">
        <f>SUM(AD102)</f>
        <v>90</v>
      </c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>
        <f>SUM(AQ102)</f>
        <v>111.1875</v>
      </c>
      <c r="AR130" s="31">
        <f>SUM(AR102)</f>
        <v>63.75</v>
      </c>
      <c r="AS130" s="31"/>
      <c r="AZ130" s="61">
        <f t="shared" si="25"/>
        <v>0</v>
      </c>
    </row>
    <row r="131" spans="1:52" ht="12.75" customHeight="1" x14ac:dyDescent="0.3">
      <c r="A131" s="8">
        <v>5</v>
      </c>
      <c r="B131" s="32" t="s">
        <v>150</v>
      </c>
      <c r="C131" s="31">
        <v>458.65</v>
      </c>
      <c r="D131" s="29">
        <f t="shared" si="20"/>
        <v>-458.65</v>
      </c>
      <c r="E131" s="28" t="s">
        <v>149</v>
      </c>
      <c r="F131" s="27">
        <f t="shared" si="12"/>
        <v>37597.660000000033</v>
      </c>
      <c r="G131" s="77"/>
      <c r="H131" s="77">
        <v>7910</v>
      </c>
      <c r="I131" s="78">
        <f t="shared" ref="I131:I139" si="26">C131</f>
        <v>458.65</v>
      </c>
      <c r="J131" s="77"/>
      <c r="K131" s="38"/>
      <c r="L131" s="7"/>
      <c r="U131" s="61"/>
      <c r="V131" s="63">
        <f>SUM(I131)</f>
        <v>458.65</v>
      </c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Z131" s="61">
        <f t="shared" si="25"/>
        <v>0</v>
      </c>
    </row>
    <row r="132" spans="1:52" ht="12.75" customHeight="1" x14ac:dyDescent="0.3">
      <c r="A132" s="8">
        <v>5</v>
      </c>
      <c r="B132" s="32" t="s">
        <v>148</v>
      </c>
      <c r="C132" s="31">
        <v>150</v>
      </c>
      <c r="D132" s="29">
        <f t="shared" si="20"/>
        <v>-150</v>
      </c>
      <c r="E132" s="28" t="s">
        <v>147</v>
      </c>
      <c r="F132" s="27">
        <f t="shared" si="12"/>
        <v>37447.660000000033</v>
      </c>
      <c r="G132" s="77"/>
      <c r="H132" s="77">
        <v>7950</v>
      </c>
      <c r="I132" s="78">
        <f t="shared" si="26"/>
        <v>150</v>
      </c>
      <c r="J132" s="77"/>
      <c r="K132" s="38"/>
      <c r="L132" s="7"/>
      <c r="U132" s="61"/>
      <c r="V132" s="63"/>
      <c r="W132" s="31">
        <f>SUM(I132)</f>
        <v>150</v>
      </c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Z132" s="61">
        <f t="shared" si="25"/>
        <v>0</v>
      </c>
    </row>
    <row r="133" spans="1:52" ht="12.75" customHeight="1" x14ac:dyDescent="0.3">
      <c r="A133" s="8">
        <v>5</v>
      </c>
      <c r="B133" s="32" t="s">
        <v>146</v>
      </c>
      <c r="C133" s="31">
        <v>149.99</v>
      </c>
      <c r="D133" s="29">
        <f t="shared" si="20"/>
        <v>-149.99</v>
      </c>
      <c r="E133" s="28" t="s">
        <v>145</v>
      </c>
      <c r="F133" s="27">
        <f t="shared" si="12"/>
        <v>37297.670000000035</v>
      </c>
      <c r="G133" s="77"/>
      <c r="H133" s="77">
        <v>7950</v>
      </c>
      <c r="I133" s="78">
        <f t="shared" si="26"/>
        <v>149.99</v>
      </c>
      <c r="J133" s="77"/>
      <c r="K133" s="38"/>
      <c r="L133" s="7"/>
      <c r="U133" s="61"/>
      <c r="V133" s="63"/>
      <c r="W133" s="31">
        <f>SUM(I133)</f>
        <v>149.99</v>
      </c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Z133" s="61">
        <f t="shared" si="25"/>
        <v>0</v>
      </c>
    </row>
    <row r="134" spans="1:52" ht="12.75" customHeight="1" x14ac:dyDescent="0.3">
      <c r="A134" s="8">
        <v>5</v>
      </c>
      <c r="B134" s="32" t="s">
        <v>144</v>
      </c>
      <c r="C134" s="31">
        <v>300</v>
      </c>
      <c r="D134" s="29">
        <f t="shared" si="20"/>
        <v>-300</v>
      </c>
      <c r="E134" s="28" t="s">
        <v>138</v>
      </c>
      <c r="F134" s="27">
        <f t="shared" si="12"/>
        <v>36997.670000000035</v>
      </c>
      <c r="G134" s="77"/>
      <c r="H134" s="77">
        <v>7950</v>
      </c>
      <c r="I134" s="78">
        <f t="shared" si="26"/>
        <v>300</v>
      </c>
      <c r="J134" s="77"/>
      <c r="K134" s="38"/>
      <c r="L134" s="7"/>
      <c r="U134" s="61"/>
      <c r="V134" s="63"/>
      <c r="W134" s="31">
        <f>SUM(I134)</f>
        <v>300</v>
      </c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Z134" s="61">
        <f t="shared" si="25"/>
        <v>0</v>
      </c>
    </row>
    <row r="135" spans="1:52" ht="12.75" customHeight="1" x14ac:dyDescent="0.3">
      <c r="A135" s="8">
        <v>5</v>
      </c>
      <c r="B135" s="20" t="s">
        <v>143</v>
      </c>
      <c r="C135" s="31">
        <v>75</v>
      </c>
      <c r="D135" s="29">
        <f t="shared" si="20"/>
        <v>-75</v>
      </c>
      <c r="E135" s="28" t="s">
        <v>138</v>
      </c>
      <c r="F135" s="27">
        <f t="shared" ref="F135:F170" si="27">SUM(F134+D135)</f>
        <v>36922.670000000035</v>
      </c>
      <c r="G135" s="77"/>
      <c r="H135" s="77">
        <v>7950</v>
      </c>
      <c r="I135" s="78">
        <f t="shared" si="26"/>
        <v>75</v>
      </c>
      <c r="J135" s="77"/>
      <c r="K135" s="38"/>
      <c r="L135" s="7"/>
      <c r="U135" s="61"/>
      <c r="V135" s="63"/>
      <c r="W135" s="31">
        <f>SUM(I135)</f>
        <v>75</v>
      </c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Z135" s="61">
        <f t="shared" si="25"/>
        <v>0</v>
      </c>
    </row>
    <row r="136" spans="1:52" ht="12.75" customHeight="1" x14ac:dyDescent="0.3">
      <c r="A136" s="8">
        <v>5</v>
      </c>
      <c r="B136" s="32" t="s">
        <v>142</v>
      </c>
      <c r="C136" s="31">
        <v>2500</v>
      </c>
      <c r="D136" s="29">
        <f t="shared" si="20"/>
        <v>-2500</v>
      </c>
      <c r="E136" s="28" t="s">
        <v>140</v>
      </c>
      <c r="F136" s="27">
        <f t="shared" si="27"/>
        <v>34422.670000000035</v>
      </c>
      <c r="G136" s="77"/>
      <c r="H136" s="77">
        <v>5710</v>
      </c>
      <c r="I136" s="78">
        <f t="shared" si="26"/>
        <v>2500</v>
      </c>
      <c r="J136" s="77"/>
      <c r="K136" s="38"/>
      <c r="L136" s="7"/>
      <c r="U136" s="61"/>
      <c r="V136" s="63"/>
      <c r="W136" s="31"/>
      <c r="X136" s="31"/>
      <c r="Y136" s="31"/>
      <c r="Z136" s="31">
        <f>SUM(I136)</f>
        <v>2500</v>
      </c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Z136" s="61">
        <f t="shared" si="25"/>
        <v>0</v>
      </c>
    </row>
    <row r="137" spans="1:52" ht="12.75" customHeight="1" x14ac:dyDescent="0.3">
      <c r="A137" s="8">
        <v>5</v>
      </c>
      <c r="B137" s="32" t="s">
        <v>141</v>
      </c>
      <c r="C137" s="31">
        <v>1080</v>
      </c>
      <c r="D137" s="29">
        <f t="shared" si="20"/>
        <v>-1080</v>
      </c>
      <c r="E137" s="28" t="s">
        <v>140</v>
      </c>
      <c r="F137" s="27">
        <f t="shared" si="27"/>
        <v>33342.670000000035</v>
      </c>
      <c r="G137" s="77"/>
      <c r="H137" s="77">
        <v>6730</v>
      </c>
      <c r="I137" s="78">
        <f t="shared" si="26"/>
        <v>1080</v>
      </c>
      <c r="J137" s="77"/>
      <c r="K137" s="38"/>
      <c r="L137" s="7"/>
      <c r="U137" s="61"/>
      <c r="V137" s="63"/>
      <c r="W137" s="31"/>
      <c r="X137" s="31">
        <f>SUM(I137)</f>
        <v>1080</v>
      </c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Z137" s="61">
        <f t="shared" si="25"/>
        <v>0</v>
      </c>
    </row>
    <row r="138" spans="1:52" ht="12.75" customHeight="1" x14ac:dyDescent="0.3">
      <c r="A138" s="215">
        <v>5</v>
      </c>
      <c r="B138" s="216" t="s">
        <v>348</v>
      </c>
      <c r="C138" s="217">
        <v>5000</v>
      </c>
      <c r="D138" s="218">
        <f t="shared" ref="D138" si="28">SUM(C138*-1)</f>
        <v>-5000</v>
      </c>
      <c r="E138" s="219" t="s">
        <v>138</v>
      </c>
      <c r="F138" s="220">
        <f t="shared" si="27"/>
        <v>28342.670000000035</v>
      </c>
      <c r="G138" s="77"/>
      <c r="H138" s="77">
        <v>5130</v>
      </c>
      <c r="I138" s="78">
        <f t="shared" si="26"/>
        <v>5000</v>
      </c>
      <c r="J138" s="77"/>
      <c r="K138" s="38"/>
      <c r="L138" s="7"/>
      <c r="U138" s="61"/>
      <c r="V138" s="63"/>
      <c r="W138" s="63"/>
      <c r="X138" s="63"/>
      <c r="Y138" s="63"/>
      <c r="Z138" s="63"/>
      <c r="AA138" s="63">
        <f>SUM(I138)</f>
        <v>5000</v>
      </c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2"/>
      <c r="AU138" s="62"/>
      <c r="AV138" s="62"/>
      <c r="AW138" s="62"/>
      <c r="AX138" s="62"/>
      <c r="AZ138" s="61">
        <f t="shared" si="25"/>
        <v>0</v>
      </c>
    </row>
    <row r="139" spans="1:52" ht="12.75" customHeight="1" thickBot="1" x14ac:dyDescent="0.35">
      <c r="A139" s="8">
        <v>5</v>
      </c>
      <c r="B139" s="32" t="s">
        <v>139</v>
      </c>
      <c r="C139" s="31">
        <v>750</v>
      </c>
      <c r="D139" s="29">
        <f t="shared" si="20"/>
        <v>-750</v>
      </c>
      <c r="E139" s="28" t="s">
        <v>138</v>
      </c>
      <c r="F139" s="27">
        <f t="shared" si="27"/>
        <v>27592.670000000035</v>
      </c>
      <c r="G139" s="77"/>
      <c r="H139" s="77">
        <v>7010</v>
      </c>
      <c r="I139" s="78">
        <f t="shared" si="26"/>
        <v>750</v>
      </c>
      <c r="J139" s="77"/>
      <c r="K139" s="38"/>
      <c r="L139" s="7"/>
      <c r="U139" s="100"/>
      <c r="V139" s="99"/>
      <c r="W139" s="99"/>
      <c r="X139" s="99"/>
      <c r="Y139" s="73"/>
      <c r="Z139" s="99"/>
      <c r="AA139" s="99"/>
      <c r="AB139" s="99"/>
      <c r="AC139" s="99"/>
      <c r="AD139" s="99"/>
      <c r="AE139" s="99"/>
      <c r="AF139" s="99"/>
      <c r="AG139" s="99"/>
      <c r="AH139" s="99"/>
      <c r="AI139" s="99"/>
      <c r="AJ139" s="99"/>
      <c r="AK139" s="99"/>
      <c r="AL139" s="99"/>
      <c r="AM139" s="99"/>
      <c r="AN139" s="99"/>
      <c r="AO139" s="99"/>
      <c r="AP139" s="99"/>
      <c r="AQ139" s="99"/>
      <c r="AR139" s="99"/>
      <c r="AS139" s="99"/>
      <c r="AT139" s="73"/>
      <c r="AU139" s="73"/>
      <c r="AV139" s="99">
        <f>SUM(I139)</f>
        <v>750</v>
      </c>
      <c r="AW139" s="99"/>
      <c r="AX139" s="99"/>
      <c r="AY139" s="73"/>
      <c r="AZ139" s="100">
        <f t="shared" si="25"/>
        <v>0</v>
      </c>
    </row>
    <row r="140" spans="1:52" ht="12.75" customHeight="1" x14ac:dyDescent="0.3">
      <c r="B140" s="32"/>
      <c r="C140" s="31"/>
      <c r="D140" s="29"/>
      <c r="E140" s="115" t="s">
        <v>286</v>
      </c>
      <c r="F140" s="27">
        <f t="shared" si="27"/>
        <v>27592.670000000035</v>
      </c>
      <c r="G140" s="77"/>
      <c r="H140" s="77"/>
      <c r="I140" s="78"/>
      <c r="J140" s="77"/>
      <c r="K140" s="38"/>
      <c r="L140" s="7"/>
      <c r="U140" s="107">
        <f t="shared" ref="U140:AY140" si="29">SUM(U114:U139)</f>
        <v>294.95</v>
      </c>
      <c r="V140" s="108">
        <f t="shared" si="29"/>
        <v>458.65</v>
      </c>
      <c r="W140" s="108">
        <f t="shared" si="29"/>
        <v>1029.7275</v>
      </c>
      <c r="X140" s="108">
        <f t="shared" si="29"/>
        <v>1080</v>
      </c>
      <c r="Y140" s="108">
        <f t="shared" si="29"/>
        <v>778.6875</v>
      </c>
      <c r="Z140" s="108">
        <f t="shared" si="29"/>
        <v>2500</v>
      </c>
      <c r="AA140" s="108">
        <f t="shared" si="29"/>
        <v>5375</v>
      </c>
      <c r="AB140" s="108">
        <f t="shared" si="29"/>
        <v>7500</v>
      </c>
      <c r="AC140" s="108">
        <f t="shared" si="29"/>
        <v>2350</v>
      </c>
      <c r="AD140" s="108">
        <f t="shared" si="29"/>
        <v>1674</v>
      </c>
      <c r="AE140" s="108">
        <f t="shared" si="29"/>
        <v>8333</v>
      </c>
      <c r="AF140" s="108">
        <f t="shared" si="29"/>
        <v>150</v>
      </c>
      <c r="AG140" s="108">
        <f t="shared" si="29"/>
        <v>2750</v>
      </c>
      <c r="AH140" s="108">
        <f t="shared" si="29"/>
        <v>27200</v>
      </c>
      <c r="AI140" s="108">
        <f t="shared" si="29"/>
        <v>2000</v>
      </c>
      <c r="AJ140" s="108">
        <f t="shared" si="29"/>
        <v>4000</v>
      </c>
      <c r="AK140" s="108">
        <f t="shared" si="29"/>
        <v>250</v>
      </c>
      <c r="AL140" s="108">
        <f t="shared" si="29"/>
        <v>0</v>
      </c>
      <c r="AM140" s="108">
        <f t="shared" si="29"/>
        <v>200</v>
      </c>
      <c r="AN140" s="108">
        <f t="shared" si="29"/>
        <v>625</v>
      </c>
      <c r="AO140" s="108">
        <f t="shared" si="29"/>
        <v>0</v>
      </c>
      <c r="AP140" s="108">
        <f t="shared" si="29"/>
        <v>1833.35</v>
      </c>
      <c r="AQ140" s="108">
        <f t="shared" si="29"/>
        <v>111.1875</v>
      </c>
      <c r="AR140" s="108">
        <f t="shared" si="29"/>
        <v>63.75</v>
      </c>
      <c r="AS140" s="108">
        <f t="shared" si="29"/>
        <v>0</v>
      </c>
      <c r="AT140" s="108">
        <f t="shared" si="29"/>
        <v>0</v>
      </c>
      <c r="AU140" s="108">
        <f t="shared" si="29"/>
        <v>0</v>
      </c>
      <c r="AV140" s="108">
        <f t="shared" si="29"/>
        <v>750</v>
      </c>
      <c r="AW140" s="108">
        <f t="shared" si="29"/>
        <v>0</v>
      </c>
      <c r="AX140" s="108">
        <f t="shared" si="29"/>
        <v>5000</v>
      </c>
      <c r="AY140" s="108">
        <f t="shared" si="29"/>
        <v>1750</v>
      </c>
      <c r="AZ140" s="61"/>
    </row>
    <row r="141" spans="1:52" ht="12.75" customHeight="1" x14ac:dyDescent="0.3">
      <c r="A141" s="411">
        <v>6</v>
      </c>
      <c r="B141" s="406" t="s">
        <v>388</v>
      </c>
      <c r="C141" s="407">
        <f>SUM(C114)</f>
        <v>5000</v>
      </c>
      <c r="D141" s="408">
        <f t="shared" ref="D141" si="30">SUM(C141*-1)</f>
        <v>-5000</v>
      </c>
      <c r="E141" s="409" t="s">
        <v>390</v>
      </c>
      <c r="F141" s="410">
        <f t="shared" si="27"/>
        <v>22592.670000000035</v>
      </c>
      <c r="G141" s="77"/>
      <c r="H141" s="77"/>
      <c r="I141" s="78"/>
      <c r="J141" s="77"/>
      <c r="K141" s="38"/>
      <c r="L141" s="7"/>
      <c r="U141" s="61"/>
      <c r="V141" s="63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X141" s="31">
        <f>SUM(C141)</f>
        <v>5000</v>
      </c>
      <c r="AZ141" s="61">
        <f t="shared" ref="AZ141:AZ168" si="31">SUM(U141:AY141)-C141</f>
        <v>0</v>
      </c>
    </row>
    <row r="142" spans="1:52" ht="12.75" customHeight="1" x14ac:dyDescent="0.3">
      <c r="A142" s="8">
        <v>6</v>
      </c>
      <c r="B142" s="32" t="s">
        <v>177</v>
      </c>
      <c r="C142" s="31">
        <v>2000</v>
      </c>
      <c r="D142" s="29">
        <f t="shared" si="20"/>
        <v>-2000</v>
      </c>
      <c r="E142" s="28" t="s">
        <v>170</v>
      </c>
      <c r="F142" s="27">
        <f t="shared" si="27"/>
        <v>20592.670000000035</v>
      </c>
      <c r="G142" s="83"/>
      <c r="H142" s="77"/>
      <c r="I142" s="78"/>
      <c r="J142" s="77"/>
      <c r="K142" s="38"/>
      <c r="L142" s="7"/>
      <c r="U142" s="61"/>
      <c r="V142" s="63"/>
      <c r="W142" s="31">
        <v>250</v>
      </c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Y142" s="63">
        <v>1750</v>
      </c>
      <c r="AZ142" s="61">
        <f t="shared" si="31"/>
        <v>0</v>
      </c>
    </row>
    <row r="143" spans="1:52" ht="12.75" customHeight="1" x14ac:dyDescent="0.3">
      <c r="A143" s="8">
        <v>6</v>
      </c>
      <c r="B143" s="32" t="s">
        <v>176</v>
      </c>
      <c r="C143" s="31">
        <v>7500</v>
      </c>
      <c r="D143" s="29">
        <f t="shared" si="20"/>
        <v>-7500</v>
      </c>
      <c r="E143" s="28" t="s">
        <v>170</v>
      </c>
      <c r="F143" s="27">
        <f t="shared" si="27"/>
        <v>13092.670000000035</v>
      </c>
      <c r="G143" s="83"/>
      <c r="H143" s="77">
        <v>5510</v>
      </c>
      <c r="I143" s="78">
        <f>C143</f>
        <v>7500</v>
      </c>
      <c r="J143" s="77"/>
      <c r="K143" s="38"/>
      <c r="L143" s="7"/>
      <c r="U143" s="61"/>
      <c r="V143" s="63"/>
      <c r="W143" s="31"/>
      <c r="X143" s="31"/>
      <c r="Y143" s="31"/>
      <c r="Z143" s="31"/>
      <c r="AA143" s="31"/>
      <c r="AB143" s="31">
        <f>SUM(I143)</f>
        <v>7500</v>
      </c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Z143" s="61">
        <f t="shared" si="31"/>
        <v>0</v>
      </c>
    </row>
    <row r="144" spans="1:52" ht="12.75" customHeight="1" x14ac:dyDescent="0.3">
      <c r="A144" s="8">
        <v>6</v>
      </c>
      <c r="B144" s="32" t="s">
        <v>175</v>
      </c>
      <c r="C144" s="31">
        <v>550</v>
      </c>
      <c r="D144" s="29">
        <f t="shared" si="20"/>
        <v>-550</v>
      </c>
      <c r="E144" s="28" t="s">
        <v>170</v>
      </c>
      <c r="F144" s="27">
        <f t="shared" si="27"/>
        <v>12542.670000000035</v>
      </c>
      <c r="G144" s="83"/>
      <c r="H144" s="77">
        <v>7650</v>
      </c>
      <c r="I144" s="78">
        <f>C144</f>
        <v>550</v>
      </c>
      <c r="J144" s="77"/>
      <c r="K144" s="38"/>
      <c r="L144" s="7"/>
      <c r="U144" s="61"/>
      <c r="V144" s="63"/>
      <c r="W144" s="31"/>
      <c r="X144" s="31"/>
      <c r="Y144" s="31"/>
      <c r="Z144" s="31"/>
      <c r="AA144" s="31"/>
      <c r="AB144" s="31"/>
      <c r="AC144" s="31">
        <f>SUM(I144)</f>
        <v>550</v>
      </c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Z144" s="61">
        <f t="shared" si="31"/>
        <v>0</v>
      </c>
    </row>
    <row r="145" spans="1:52" ht="12.75" customHeight="1" x14ac:dyDescent="0.3">
      <c r="A145" s="8">
        <v>6</v>
      </c>
      <c r="B145" s="32" t="s">
        <v>174</v>
      </c>
      <c r="C145" s="31">
        <v>1800</v>
      </c>
      <c r="D145" s="29">
        <f t="shared" si="20"/>
        <v>-1800</v>
      </c>
      <c r="E145" s="28" t="s">
        <v>173</v>
      </c>
      <c r="F145" s="27">
        <f t="shared" si="27"/>
        <v>10742.670000000035</v>
      </c>
      <c r="G145" s="83"/>
      <c r="H145" s="77">
        <v>7650</v>
      </c>
      <c r="I145" s="78">
        <f>C145</f>
        <v>1800</v>
      </c>
      <c r="J145" s="77"/>
      <c r="K145" s="38"/>
      <c r="L145" s="7"/>
      <c r="U145" s="61"/>
      <c r="V145" s="63"/>
      <c r="W145" s="31"/>
      <c r="X145" s="31"/>
      <c r="Y145" s="31"/>
      <c r="Z145" s="31"/>
      <c r="AA145" s="31"/>
      <c r="AB145" s="31"/>
      <c r="AC145" s="31">
        <f>SUM(I145)</f>
        <v>1800</v>
      </c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Z145" s="61">
        <f t="shared" si="31"/>
        <v>0</v>
      </c>
    </row>
    <row r="146" spans="1:52" ht="12.75" customHeight="1" x14ac:dyDescent="0.3">
      <c r="A146" s="42">
        <v>6</v>
      </c>
      <c r="B146" s="43" t="s">
        <v>172</v>
      </c>
      <c r="C146" s="44">
        <v>9917</v>
      </c>
      <c r="D146" s="46">
        <f t="shared" si="20"/>
        <v>-9917</v>
      </c>
      <c r="E146" s="47" t="s">
        <v>359</v>
      </c>
      <c r="F146" s="27">
        <f t="shared" si="27"/>
        <v>825.67000000003463</v>
      </c>
      <c r="G146" s="83"/>
      <c r="H146" s="77">
        <v>5750</v>
      </c>
      <c r="I146" s="80">
        <v>1584</v>
      </c>
      <c r="J146" s="77">
        <v>5520</v>
      </c>
      <c r="K146" s="38">
        <v>8333</v>
      </c>
      <c r="L146" s="7"/>
      <c r="U146" s="61"/>
      <c r="V146" s="63"/>
      <c r="W146" s="31"/>
      <c r="X146" s="31"/>
      <c r="Y146" s="31"/>
      <c r="Z146" s="31"/>
      <c r="AA146" s="31"/>
      <c r="AB146" s="31"/>
      <c r="AC146" s="31"/>
      <c r="AD146" s="31">
        <f>SUM(I146)</f>
        <v>1584</v>
      </c>
      <c r="AE146" s="31">
        <f>SUM(K146)</f>
        <v>8333</v>
      </c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Z146" s="61">
        <f t="shared" si="31"/>
        <v>0</v>
      </c>
    </row>
    <row r="147" spans="1:52" ht="12.75" customHeight="1" x14ac:dyDescent="0.3">
      <c r="A147" s="8">
        <v>6</v>
      </c>
      <c r="B147" s="32" t="s">
        <v>171</v>
      </c>
      <c r="C147" s="31">
        <v>34.950000000000003</v>
      </c>
      <c r="D147" s="29">
        <f t="shared" si="20"/>
        <v>-34.950000000000003</v>
      </c>
      <c r="E147" s="28" t="s">
        <v>170</v>
      </c>
      <c r="F147" s="27">
        <f t="shared" si="27"/>
        <v>790.72000000003459</v>
      </c>
      <c r="G147" s="83"/>
      <c r="H147" s="77">
        <v>7850</v>
      </c>
      <c r="I147" s="78">
        <f>C147</f>
        <v>34.950000000000003</v>
      </c>
      <c r="J147" s="77"/>
      <c r="K147" s="38"/>
      <c r="L147" s="7"/>
      <c r="U147" s="61">
        <f>SUM(I147)</f>
        <v>34.950000000000003</v>
      </c>
      <c r="V147" s="63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Z147" s="61">
        <f t="shared" si="31"/>
        <v>0</v>
      </c>
    </row>
    <row r="148" spans="1:52" ht="12.75" customHeight="1" x14ac:dyDescent="0.3">
      <c r="A148" s="8">
        <v>6</v>
      </c>
      <c r="B148" s="32" t="s">
        <v>169</v>
      </c>
      <c r="C148" s="31">
        <v>150</v>
      </c>
      <c r="D148" s="29">
        <f t="shared" si="20"/>
        <v>-150</v>
      </c>
      <c r="E148" s="28" t="s">
        <v>168</v>
      </c>
      <c r="F148" s="27">
        <f t="shared" si="27"/>
        <v>640.72000000003459</v>
      </c>
      <c r="G148" s="83"/>
      <c r="H148" s="77">
        <v>7090</v>
      </c>
      <c r="I148" s="78">
        <f>C148</f>
        <v>150</v>
      </c>
      <c r="J148" s="77"/>
      <c r="K148" s="38"/>
      <c r="L148" s="7"/>
      <c r="U148" s="61"/>
      <c r="V148" s="63"/>
      <c r="W148" s="31"/>
      <c r="X148" s="31"/>
      <c r="Y148" s="31"/>
      <c r="Z148" s="31"/>
      <c r="AA148" s="31"/>
      <c r="AB148" s="31"/>
      <c r="AC148" s="31"/>
      <c r="AD148" s="31"/>
      <c r="AE148" s="31"/>
      <c r="AF148" s="31">
        <f>SUM(I148)</f>
        <v>150</v>
      </c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Z148" s="61">
        <f t="shared" si="31"/>
        <v>0</v>
      </c>
    </row>
    <row r="149" spans="1:52" ht="12.75" customHeight="1" x14ac:dyDescent="0.3">
      <c r="A149" s="8">
        <v>6</v>
      </c>
      <c r="B149" s="32" t="s">
        <v>155</v>
      </c>
      <c r="C149" s="31">
        <f>SUM(C128)</f>
        <v>18100</v>
      </c>
      <c r="D149" s="29">
        <f t="shared" si="20"/>
        <v>-18100</v>
      </c>
      <c r="E149" s="28" t="s">
        <v>167</v>
      </c>
      <c r="F149" s="27">
        <f t="shared" si="27"/>
        <v>-17459.279999999966</v>
      </c>
      <c r="G149" s="83"/>
      <c r="H149" s="77">
        <v>8570</v>
      </c>
      <c r="I149" s="80">
        <v>1375</v>
      </c>
      <c r="J149" s="77" t="s">
        <v>207</v>
      </c>
      <c r="K149" s="38" t="s">
        <v>207</v>
      </c>
      <c r="L149" s="7">
        <v>8510</v>
      </c>
      <c r="M149" s="38">
        <v>13600</v>
      </c>
      <c r="N149" s="50">
        <v>8250</v>
      </c>
      <c r="O149" s="38">
        <v>1000</v>
      </c>
      <c r="P149" s="50">
        <v>8530</v>
      </c>
      <c r="Q149" s="123">
        <v>2000</v>
      </c>
      <c r="R149" s="50">
        <v>8590</v>
      </c>
      <c r="S149" s="38">
        <v>125</v>
      </c>
      <c r="T149" s="51">
        <f>SUM(I149+M149+O149+Q149+S149)</f>
        <v>18100</v>
      </c>
      <c r="U149" s="61"/>
      <c r="V149" s="63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>
        <f>SUM(I149)</f>
        <v>1375</v>
      </c>
      <c r="AH149" s="31">
        <f>SUM(M149)</f>
        <v>13600</v>
      </c>
      <c r="AI149" s="31">
        <f>SUM(O149)</f>
        <v>1000</v>
      </c>
      <c r="AJ149" s="31">
        <f>SUM(Q149)</f>
        <v>2000</v>
      </c>
      <c r="AK149" s="31">
        <f>SUM(S149)</f>
        <v>125</v>
      </c>
      <c r="AL149" s="31"/>
      <c r="AM149" s="31"/>
      <c r="AN149" s="31"/>
      <c r="AO149" s="31"/>
      <c r="AP149" s="31"/>
      <c r="AQ149" s="31"/>
      <c r="AR149" s="31"/>
      <c r="AS149" s="31"/>
      <c r="AZ149" s="61">
        <f t="shared" si="31"/>
        <v>0</v>
      </c>
    </row>
    <row r="150" spans="1:52" ht="12.75" customHeight="1" x14ac:dyDescent="0.3">
      <c r="A150" s="8">
        <v>6</v>
      </c>
      <c r="B150" s="32" t="s">
        <v>153</v>
      </c>
      <c r="C150" s="31">
        <v>100</v>
      </c>
      <c r="D150" s="29">
        <f t="shared" si="20"/>
        <v>-100</v>
      </c>
      <c r="E150" s="28" t="s">
        <v>166</v>
      </c>
      <c r="F150" s="27">
        <f t="shared" si="27"/>
        <v>-17559.279999999966</v>
      </c>
      <c r="G150" s="83"/>
      <c r="H150" s="77">
        <v>7850</v>
      </c>
      <c r="I150" s="78">
        <f>C150</f>
        <v>100</v>
      </c>
      <c r="J150" s="77"/>
      <c r="K150" s="38"/>
      <c r="L150" s="7"/>
      <c r="U150" s="61">
        <f>SUM(I150)</f>
        <v>100</v>
      </c>
      <c r="V150" s="63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Z150" s="61">
        <f t="shared" si="31"/>
        <v>0</v>
      </c>
    </row>
    <row r="151" spans="1:52" ht="12.75" customHeight="1" x14ac:dyDescent="0.3">
      <c r="A151" s="8">
        <v>6</v>
      </c>
      <c r="B151" s="32" t="s">
        <v>165</v>
      </c>
      <c r="C151" s="31">
        <v>200</v>
      </c>
      <c r="D151" s="29">
        <f t="shared" si="20"/>
        <v>-200</v>
      </c>
      <c r="E151" s="28" t="s">
        <v>161</v>
      </c>
      <c r="F151" s="27">
        <f t="shared" si="27"/>
        <v>-17759.279999999966</v>
      </c>
      <c r="G151" s="83"/>
      <c r="H151" s="77">
        <v>6770</v>
      </c>
      <c r="I151" s="78">
        <f>C151</f>
        <v>200</v>
      </c>
      <c r="J151" s="77"/>
      <c r="K151" s="38"/>
      <c r="L151" s="7"/>
      <c r="U151" s="61"/>
      <c r="V151" s="63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>
        <f>SUM(I151)</f>
        <v>200</v>
      </c>
      <c r="AN151" s="31"/>
      <c r="AO151" s="31"/>
      <c r="AP151" s="31"/>
      <c r="AQ151" s="31"/>
      <c r="AR151" s="31"/>
      <c r="AS151" s="31"/>
      <c r="AZ151" s="61">
        <f t="shared" si="31"/>
        <v>0</v>
      </c>
    </row>
    <row r="152" spans="1:52" ht="12.75" customHeight="1" x14ac:dyDescent="0.3">
      <c r="A152" s="8">
        <v>6</v>
      </c>
      <c r="B152" s="20" t="s">
        <v>164</v>
      </c>
      <c r="C152" s="31">
        <v>625</v>
      </c>
      <c r="D152" s="29">
        <f t="shared" si="20"/>
        <v>-625</v>
      </c>
      <c r="E152" s="28" t="s">
        <v>163</v>
      </c>
      <c r="F152" s="27">
        <f t="shared" si="27"/>
        <v>-18384.279999999966</v>
      </c>
      <c r="G152" s="83"/>
      <c r="H152" s="77">
        <v>5540</v>
      </c>
      <c r="I152" s="78">
        <f>C152</f>
        <v>625</v>
      </c>
      <c r="J152" s="77"/>
      <c r="K152" s="38"/>
      <c r="L152" s="7"/>
      <c r="U152" s="61"/>
      <c r="V152" s="63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>
        <f>SUM(I152)</f>
        <v>625</v>
      </c>
      <c r="AO152" s="31"/>
      <c r="AP152" s="31"/>
      <c r="AQ152" s="31"/>
      <c r="AR152" s="31"/>
      <c r="AS152" s="31"/>
      <c r="AZ152" s="61">
        <f t="shared" si="31"/>
        <v>0</v>
      </c>
    </row>
    <row r="153" spans="1:52" ht="12.75" customHeight="1" x14ac:dyDescent="0.3">
      <c r="A153" s="8">
        <v>6</v>
      </c>
      <c r="B153" s="32" t="s">
        <v>162</v>
      </c>
      <c r="C153" s="31">
        <v>60</v>
      </c>
      <c r="D153" s="29">
        <f t="shared" si="20"/>
        <v>-60</v>
      </c>
      <c r="E153" s="28" t="s">
        <v>161</v>
      </c>
      <c r="F153" s="27">
        <f t="shared" si="27"/>
        <v>-18444.279999999966</v>
      </c>
      <c r="G153" s="83"/>
      <c r="H153" s="77">
        <v>7850</v>
      </c>
      <c r="I153" s="78">
        <f>C153</f>
        <v>60</v>
      </c>
      <c r="J153" s="77"/>
      <c r="K153" s="38"/>
      <c r="L153" s="7"/>
      <c r="U153" s="61">
        <f>SUM(I153)</f>
        <v>60</v>
      </c>
      <c r="V153" s="63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Z153" s="61">
        <f t="shared" si="31"/>
        <v>0</v>
      </c>
    </row>
    <row r="154" spans="1:52" ht="12.75" customHeight="1" x14ac:dyDescent="0.3">
      <c r="A154" s="8">
        <v>6</v>
      </c>
      <c r="B154" s="20" t="s">
        <v>160</v>
      </c>
      <c r="C154" s="30">
        <v>1833.35</v>
      </c>
      <c r="D154" s="29">
        <f t="shared" si="20"/>
        <v>-1833.35</v>
      </c>
      <c r="E154" s="28" t="s">
        <v>159</v>
      </c>
      <c r="F154" s="27">
        <f t="shared" si="27"/>
        <v>-20277.629999999965</v>
      </c>
      <c r="G154" s="83"/>
      <c r="H154" s="77">
        <v>6590</v>
      </c>
      <c r="I154" s="78">
        <f>C154</f>
        <v>1833.35</v>
      </c>
      <c r="J154" s="77"/>
      <c r="K154" s="38"/>
      <c r="L154" s="7"/>
      <c r="U154" s="61"/>
      <c r="V154" s="63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P154" s="31">
        <f>SUM(I154)</f>
        <v>1833.35</v>
      </c>
      <c r="AQ154" s="31"/>
      <c r="AR154" s="31"/>
      <c r="AS154" s="31"/>
      <c r="AZ154" s="61">
        <f t="shared" si="31"/>
        <v>0</v>
      </c>
    </row>
    <row r="155" spans="1:52" ht="12.75" customHeight="1" x14ac:dyDescent="0.3">
      <c r="A155" s="135">
        <v>6</v>
      </c>
      <c r="B155" s="136" t="s">
        <v>157</v>
      </c>
      <c r="C155" s="151"/>
      <c r="D155" s="138">
        <v>40630.800000000003</v>
      </c>
      <c r="E155" s="139" t="s">
        <v>342</v>
      </c>
      <c r="F155" s="140">
        <f t="shared" si="27"/>
        <v>20353.170000000038</v>
      </c>
      <c r="G155" s="83"/>
      <c r="H155" s="77" t="s">
        <v>207</v>
      </c>
      <c r="I155" s="77" t="s">
        <v>207</v>
      </c>
      <c r="J155" s="77"/>
      <c r="K155" s="38"/>
      <c r="L155" s="7"/>
      <c r="U155" s="61"/>
      <c r="V155" s="63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Z155" s="61">
        <f t="shared" si="31"/>
        <v>0</v>
      </c>
    </row>
    <row r="156" spans="1:52" ht="12.75" customHeight="1" x14ac:dyDescent="0.3">
      <c r="A156" s="135">
        <v>6</v>
      </c>
      <c r="B156" s="136" t="s">
        <v>157</v>
      </c>
      <c r="C156" s="151"/>
      <c r="D156" s="141">
        <v>262637.08</v>
      </c>
      <c r="E156" s="139" t="s">
        <v>343</v>
      </c>
      <c r="F156" s="140">
        <f t="shared" si="27"/>
        <v>282990.25000000006</v>
      </c>
      <c r="G156" s="83"/>
      <c r="H156" s="77" t="s">
        <v>207</v>
      </c>
      <c r="I156" s="77" t="s">
        <v>207</v>
      </c>
      <c r="J156" s="77"/>
      <c r="K156" s="38"/>
      <c r="L156" s="7"/>
      <c r="U156" s="61"/>
      <c r="V156" s="63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Z156" s="61">
        <f t="shared" si="31"/>
        <v>0</v>
      </c>
    </row>
    <row r="157" spans="1:52" ht="12.75" customHeight="1" x14ac:dyDescent="0.3">
      <c r="A157" s="42">
        <v>6</v>
      </c>
      <c r="B157" s="43" t="s">
        <v>155</v>
      </c>
      <c r="C157" s="44">
        <f>SUM(C149)</f>
        <v>18100</v>
      </c>
      <c r="D157" s="46">
        <f t="shared" ref="D157:D168" si="32">SUM(C157*-1)</f>
        <v>-18100</v>
      </c>
      <c r="E157" s="47" t="s">
        <v>154</v>
      </c>
      <c r="F157" s="27">
        <f t="shared" si="27"/>
        <v>264890.25000000006</v>
      </c>
      <c r="G157" s="83"/>
      <c r="H157" s="77">
        <v>8570</v>
      </c>
      <c r="I157" s="80">
        <v>1375</v>
      </c>
      <c r="J157" s="77" t="s">
        <v>207</v>
      </c>
      <c r="K157" s="38" t="s">
        <v>207</v>
      </c>
      <c r="L157" s="7">
        <v>8510</v>
      </c>
      <c r="M157" s="38">
        <v>13600</v>
      </c>
      <c r="N157" s="50">
        <v>8250</v>
      </c>
      <c r="O157" s="38">
        <v>1000</v>
      </c>
      <c r="P157" s="50">
        <v>8530</v>
      </c>
      <c r="Q157" s="123">
        <v>2000</v>
      </c>
      <c r="R157" s="50">
        <v>8590</v>
      </c>
      <c r="S157" s="38">
        <v>125</v>
      </c>
      <c r="T157" s="51">
        <f>SUM(I157+M157+O157+Q157+S157)</f>
        <v>18100</v>
      </c>
      <c r="U157" s="61"/>
      <c r="V157" s="63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>
        <f>SUM(I157)</f>
        <v>1375</v>
      </c>
      <c r="AH157" s="31">
        <f>SUM(M157)</f>
        <v>13600</v>
      </c>
      <c r="AI157" s="31">
        <f>SUM(O157)</f>
        <v>1000</v>
      </c>
      <c r="AJ157" s="31">
        <f>SUM(Q157)</f>
        <v>2000</v>
      </c>
      <c r="AK157" s="31">
        <f>SUM(S157)</f>
        <v>125</v>
      </c>
      <c r="AL157" s="31"/>
      <c r="AM157" s="31"/>
      <c r="AN157" s="31"/>
      <c r="AO157" s="31"/>
      <c r="AP157" s="31"/>
      <c r="AQ157" s="31"/>
      <c r="AR157" s="31"/>
      <c r="AS157" s="31"/>
      <c r="AZ157" s="61">
        <f t="shared" si="31"/>
        <v>0</v>
      </c>
    </row>
    <row r="158" spans="1:52" ht="12.75" customHeight="1" x14ac:dyDescent="0.3">
      <c r="A158" s="8">
        <v>6</v>
      </c>
      <c r="B158" s="32" t="s">
        <v>153</v>
      </c>
      <c r="C158" s="31">
        <v>100</v>
      </c>
      <c r="D158" s="29">
        <f t="shared" si="32"/>
        <v>-100</v>
      </c>
      <c r="E158" s="28" t="s">
        <v>152</v>
      </c>
      <c r="F158" s="27">
        <f t="shared" si="27"/>
        <v>264790.25000000006</v>
      </c>
      <c r="G158" s="83"/>
      <c r="H158" s="77">
        <v>7850</v>
      </c>
      <c r="I158" s="78">
        <f>C158</f>
        <v>100</v>
      </c>
      <c r="J158" s="77"/>
      <c r="K158" s="38"/>
      <c r="L158" s="7"/>
      <c r="U158" s="61">
        <f>SUM(I158)</f>
        <v>100</v>
      </c>
      <c r="V158" s="63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Z158" s="61">
        <f t="shared" si="31"/>
        <v>0</v>
      </c>
    </row>
    <row r="159" spans="1:52" ht="12.75" customHeight="1" x14ac:dyDescent="0.3">
      <c r="A159" s="8">
        <v>6</v>
      </c>
      <c r="B159" s="20" t="s">
        <v>266</v>
      </c>
      <c r="C159" s="31">
        <f>SUM('CCD - Mnthly Bills'!C20)</f>
        <v>1523.3625000000002</v>
      </c>
      <c r="D159" s="29">
        <f t="shared" si="32"/>
        <v>-1523.3625000000002</v>
      </c>
      <c r="E159" s="28" t="s">
        <v>268</v>
      </c>
      <c r="F159" s="27">
        <f t="shared" si="27"/>
        <v>263266.88750000007</v>
      </c>
      <c r="G159" s="83"/>
      <c r="H159" s="570" t="s">
        <v>264</v>
      </c>
      <c r="I159" s="570"/>
      <c r="J159" s="77"/>
      <c r="K159" s="38"/>
      <c r="L159" s="7"/>
      <c r="U159" s="61"/>
      <c r="V159" s="63"/>
      <c r="W159" s="31">
        <f>SUM(W130)</f>
        <v>104.73750000000001</v>
      </c>
      <c r="X159" s="31"/>
      <c r="Y159" s="31">
        <f>SUM(Y130)</f>
        <v>778.6875</v>
      </c>
      <c r="Z159" s="31"/>
      <c r="AA159" s="31">
        <f>SUM(AA130)</f>
        <v>375</v>
      </c>
      <c r="AB159" s="31"/>
      <c r="AC159" s="31"/>
      <c r="AD159" s="31">
        <f>SUM(AD130)</f>
        <v>90</v>
      </c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>
        <f>SUM(AQ130)</f>
        <v>111.1875</v>
      </c>
      <c r="AR159" s="31">
        <f>SUM(AR130)</f>
        <v>63.75</v>
      </c>
      <c r="AS159" s="31"/>
      <c r="AZ159" s="61">
        <f t="shared" si="31"/>
        <v>0</v>
      </c>
    </row>
    <row r="160" spans="1:52" ht="12.75" customHeight="1" x14ac:dyDescent="0.3">
      <c r="A160" s="8">
        <v>6</v>
      </c>
      <c r="B160" s="32" t="s">
        <v>150</v>
      </c>
      <c r="C160" s="31">
        <v>458.65</v>
      </c>
      <c r="D160" s="29">
        <f t="shared" si="32"/>
        <v>-458.65</v>
      </c>
      <c r="E160" s="28" t="s">
        <v>149</v>
      </c>
      <c r="F160" s="27">
        <f t="shared" si="27"/>
        <v>262808.23750000005</v>
      </c>
      <c r="G160" s="83"/>
      <c r="H160" s="77">
        <v>7910</v>
      </c>
      <c r="I160" s="78">
        <f t="shared" ref="I160:I168" si="33">C160</f>
        <v>458.65</v>
      </c>
      <c r="J160" s="77"/>
      <c r="K160" s="38"/>
      <c r="L160" s="7"/>
      <c r="U160" s="61"/>
      <c r="V160" s="63">
        <f>SUM(I160)</f>
        <v>458.65</v>
      </c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Z160" s="61">
        <f t="shared" si="31"/>
        <v>0</v>
      </c>
    </row>
    <row r="161" spans="1:53" ht="12.75" customHeight="1" x14ac:dyDescent="0.3">
      <c r="A161" s="8">
        <v>6</v>
      </c>
      <c r="B161" s="32" t="s">
        <v>148</v>
      </c>
      <c r="C161" s="31">
        <v>150</v>
      </c>
      <c r="D161" s="29">
        <f t="shared" si="32"/>
        <v>-150</v>
      </c>
      <c r="E161" s="28" t="s">
        <v>147</v>
      </c>
      <c r="F161" s="27">
        <f t="shared" si="27"/>
        <v>262658.23750000005</v>
      </c>
      <c r="G161" s="83"/>
      <c r="H161" s="77">
        <v>7950</v>
      </c>
      <c r="I161" s="78">
        <f t="shared" si="33"/>
        <v>150</v>
      </c>
      <c r="J161" s="77"/>
      <c r="K161" s="38"/>
      <c r="L161" s="7"/>
      <c r="U161" s="61"/>
      <c r="V161" s="63"/>
      <c r="W161" s="31">
        <f>SUM(I161)</f>
        <v>150</v>
      </c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Z161" s="61">
        <f t="shared" si="31"/>
        <v>0</v>
      </c>
    </row>
    <row r="162" spans="1:53" ht="12.75" customHeight="1" x14ac:dyDescent="0.3">
      <c r="A162" s="8">
        <v>6</v>
      </c>
      <c r="B162" s="32" t="s">
        <v>146</v>
      </c>
      <c r="C162" s="31">
        <v>149.99</v>
      </c>
      <c r="D162" s="29">
        <f t="shared" si="32"/>
        <v>-149.99</v>
      </c>
      <c r="E162" s="28" t="s">
        <v>145</v>
      </c>
      <c r="F162" s="27">
        <f t="shared" si="27"/>
        <v>262508.24750000006</v>
      </c>
      <c r="G162" s="83"/>
      <c r="H162" s="77">
        <v>7950</v>
      </c>
      <c r="I162" s="78">
        <f t="shared" si="33"/>
        <v>149.99</v>
      </c>
      <c r="J162" s="77"/>
      <c r="K162" s="38"/>
      <c r="L162" s="7"/>
      <c r="U162" s="61"/>
      <c r="V162" s="63"/>
      <c r="W162" s="31">
        <f>SUM(I162)</f>
        <v>149.99</v>
      </c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Z162" s="61">
        <f t="shared" si="31"/>
        <v>0</v>
      </c>
    </row>
    <row r="163" spans="1:53" ht="12.75" customHeight="1" x14ac:dyDescent="0.3">
      <c r="A163" s="8">
        <v>6</v>
      </c>
      <c r="B163" s="32" t="s">
        <v>144</v>
      </c>
      <c r="C163" s="31">
        <v>300</v>
      </c>
      <c r="D163" s="29">
        <f t="shared" si="32"/>
        <v>-300</v>
      </c>
      <c r="E163" s="28" t="s">
        <v>138</v>
      </c>
      <c r="F163" s="27">
        <f t="shared" si="27"/>
        <v>262208.24750000006</v>
      </c>
      <c r="G163" s="83"/>
      <c r="H163" s="77">
        <v>7950</v>
      </c>
      <c r="I163" s="78">
        <f t="shared" si="33"/>
        <v>300</v>
      </c>
      <c r="J163" s="77"/>
      <c r="K163" s="38"/>
      <c r="L163" s="7"/>
      <c r="U163" s="61"/>
      <c r="V163" s="63"/>
      <c r="W163" s="31">
        <f>SUM(I163)</f>
        <v>300</v>
      </c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Z163" s="61">
        <f t="shared" si="31"/>
        <v>0</v>
      </c>
    </row>
    <row r="164" spans="1:53" ht="12.75" customHeight="1" x14ac:dyDescent="0.3">
      <c r="A164" s="8">
        <v>6</v>
      </c>
      <c r="B164" s="20" t="s">
        <v>143</v>
      </c>
      <c r="C164" s="31">
        <v>75</v>
      </c>
      <c r="D164" s="29">
        <f t="shared" si="32"/>
        <v>-75</v>
      </c>
      <c r="E164" s="28" t="s">
        <v>138</v>
      </c>
      <c r="F164" s="27">
        <f t="shared" si="27"/>
        <v>262133.24750000006</v>
      </c>
      <c r="G164" s="83"/>
      <c r="H164" s="77">
        <v>7950</v>
      </c>
      <c r="I164" s="78">
        <f t="shared" si="33"/>
        <v>75</v>
      </c>
      <c r="J164" s="77"/>
      <c r="K164" s="38"/>
      <c r="L164" s="7"/>
      <c r="U164" s="61"/>
      <c r="V164" s="63"/>
      <c r="W164" s="31">
        <f>SUM(I164)</f>
        <v>75</v>
      </c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Z164" s="61">
        <f t="shared" si="31"/>
        <v>0</v>
      </c>
    </row>
    <row r="165" spans="1:53" ht="12.75" customHeight="1" x14ac:dyDescent="0.3">
      <c r="A165" s="8">
        <v>6</v>
      </c>
      <c r="B165" s="32" t="s">
        <v>142</v>
      </c>
      <c r="C165" s="31">
        <v>2500</v>
      </c>
      <c r="D165" s="29">
        <f t="shared" si="32"/>
        <v>-2500</v>
      </c>
      <c r="E165" s="28" t="s">
        <v>140</v>
      </c>
      <c r="F165" s="27">
        <f t="shared" si="27"/>
        <v>259633.24750000006</v>
      </c>
      <c r="G165" s="83"/>
      <c r="H165" s="77">
        <v>5710</v>
      </c>
      <c r="I165" s="78">
        <f t="shared" si="33"/>
        <v>2500</v>
      </c>
      <c r="J165" s="77"/>
      <c r="K165" s="38"/>
      <c r="L165" s="7"/>
      <c r="U165" s="61"/>
      <c r="V165" s="63"/>
      <c r="W165" s="31"/>
      <c r="X165" s="31"/>
      <c r="Y165" s="31"/>
      <c r="Z165" s="31">
        <f>SUM(I165)</f>
        <v>2500</v>
      </c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Z165" s="61">
        <f t="shared" si="31"/>
        <v>0</v>
      </c>
    </row>
    <row r="166" spans="1:53" ht="12.75" customHeight="1" x14ac:dyDescent="0.3">
      <c r="A166" s="8">
        <v>6</v>
      </c>
      <c r="B166" s="32" t="s">
        <v>141</v>
      </c>
      <c r="C166" s="31">
        <v>1080</v>
      </c>
      <c r="D166" s="29">
        <f t="shared" si="32"/>
        <v>-1080</v>
      </c>
      <c r="E166" s="28" t="s">
        <v>140</v>
      </c>
      <c r="F166" s="27">
        <f t="shared" si="27"/>
        <v>258553.24750000006</v>
      </c>
      <c r="G166" s="83"/>
      <c r="H166" s="77">
        <v>6730</v>
      </c>
      <c r="I166" s="78">
        <f t="shared" si="33"/>
        <v>1080</v>
      </c>
      <c r="J166" s="77"/>
      <c r="K166" s="38"/>
      <c r="L166" s="7"/>
      <c r="U166" s="61"/>
      <c r="V166" s="63"/>
      <c r="W166" s="31"/>
      <c r="X166" s="31">
        <f>SUM(I166)</f>
        <v>1080</v>
      </c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Z166" s="61">
        <f t="shared" si="31"/>
        <v>0</v>
      </c>
    </row>
    <row r="167" spans="1:53" ht="12.75" customHeight="1" x14ac:dyDescent="0.3">
      <c r="A167" s="215">
        <v>6</v>
      </c>
      <c r="B167" s="216" t="s">
        <v>348</v>
      </c>
      <c r="C167" s="217">
        <v>5000</v>
      </c>
      <c r="D167" s="218">
        <f t="shared" si="32"/>
        <v>-5000</v>
      </c>
      <c r="E167" s="219" t="s">
        <v>138</v>
      </c>
      <c r="F167" s="220">
        <f t="shared" si="27"/>
        <v>253553.24750000006</v>
      </c>
      <c r="G167" s="77"/>
      <c r="H167" s="77">
        <v>5130</v>
      </c>
      <c r="I167" s="78">
        <f t="shared" si="33"/>
        <v>5000</v>
      </c>
      <c r="J167" s="77"/>
      <c r="K167" s="38"/>
      <c r="L167" s="7"/>
      <c r="U167" s="61"/>
      <c r="V167" s="63"/>
      <c r="W167" s="63"/>
      <c r="X167" s="63"/>
      <c r="Y167" s="63"/>
      <c r="Z167" s="63"/>
      <c r="AA167" s="63">
        <f>SUM(I167)</f>
        <v>5000</v>
      </c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2"/>
      <c r="AU167" s="62"/>
      <c r="AV167" s="62"/>
      <c r="AW167" s="62"/>
      <c r="AX167" s="62"/>
      <c r="AZ167" s="61">
        <f t="shared" si="31"/>
        <v>0</v>
      </c>
    </row>
    <row r="168" spans="1:53" ht="12.75" customHeight="1" thickBot="1" x14ac:dyDescent="0.35">
      <c r="A168" s="8">
        <v>6</v>
      </c>
      <c r="B168" s="32" t="s">
        <v>139</v>
      </c>
      <c r="C168" s="72">
        <v>750</v>
      </c>
      <c r="D168" s="29">
        <f t="shared" si="32"/>
        <v>-750</v>
      </c>
      <c r="E168" s="28" t="s">
        <v>138</v>
      </c>
      <c r="F168" s="27">
        <f t="shared" si="27"/>
        <v>252803.24750000006</v>
      </c>
      <c r="G168" s="83"/>
      <c r="H168" s="77">
        <v>7010</v>
      </c>
      <c r="I168" s="78">
        <f t="shared" si="33"/>
        <v>750</v>
      </c>
      <c r="J168" s="77"/>
      <c r="K168" s="38"/>
      <c r="L168" s="7"/>
      <c r="U168" s="100"/>
      <c r="V168" s="99"/>
      <c r="W168" s="99"/>
      <c r="X168" s="99"/>
      <c r="Z168" s="99"/>
      <c r="AA168" s="99"/>
      <c r="AB168" s="99"/>
      <c r="AC168" s="99"/>
      <c r="AD168" s="99"/>
      <c r="AE168" s="99"/>
      <c r="AF168" s="99"/>
      <c r="AG168" s="99"/>
      <c r="AH168" s="99"/>
      <c r="AI168" s="99"/>
      <c r="AJ168" s="99"/>
      <c r="AK168" s="99"/>
      <c r="AL168" s="99"/>
      <c r="AM168" s="99"/>
      <c r="AN168" s="99"/>
      <c r="AO168" s="99"/>
      <c r="AP168" s="99"/>
      <c r="AQ168" s="99"/>
      <c r="AR168" s="99"/>
      <c r="AS168" s="99"/>
      <c r="AT168" s="73"/>
      <c r="AU168" s="73"/>
      <c r="AV168" s="99">
        <f>SUM(I168)</f>
        <v>750</v>
      </c>
      <c r="AW168" s="99"/>
      <c r="AX168" s="99"/>
      <c r="AY168" s="73"/>
      <c r="AZ168" s="100">
        <f t="shared" si="31"/>
        <v>0</v>
      </c>
    </row>
    <row r="169" spans="1:53" ht="12.75" customHeight="1" thickTop="1" thickBot="1" x14ac:dyDescent="0.35">
      <c r="C169" s="31">
        <f>SUM(C5:C168)</f>
        <v>509165.03249999997</v>
      </c>
      <c r="E169" s="114" t="s">
        <v>287</v>
      </c>
      <c r="F169" s="27">
        <f t="shared" si="27"/>
        <v>252803.24750000006</v>
      </c>
      <c r="T169" s="31">
        <f>SUM(U169:BB169)</f>
        <v>78057.302500000005</v>
      </c>
      <c r="U169" s="111">
        <f>SUM(U141:U168)</f>
        <v>294.95</v>
      </c>
      <c r="V169" s="112">
        <f>SUM(V141:V168)</f>
        <v>458.65</v>
      </c>
      <c r="W169" s="112">
        <f t="shared" ref="W169:AV169" si="34">SUM(W141:W168)</f>
        <v>1029.7275</v>
      </c>
      <c r="X169" s="112">
        <f t="shared" si="34"/>
        <v>1080</v>
      </c>
      <c r="Y169" s="112">
        <f t="shared" si="34"/>
        <v>778.6875</v>
      </c>
      <c r="Z169" s="112">
        <f t="shared" si="34"/>
        <v>2500</v>
      </c>
      <c r="AA169" s="112">
        <f t="shared" si="34"/>
        <v>5375</v>
      </c>
      <c r="AB169" s="112">
        <f t="shared" si="34"/>
        <v>7500</v>
      </c>
      <c r="AC169" s="112">
        <f t="shared" si="34"/>
        <v>2350</v>
      </c>
      <c r="AD169" s="112">
        <f t="shared" si="34"/>
        <v>1674</v>
      </c>
      <c r="AE169" s="112">
        <f t="shared" si="34"/>
        <v>8333</v>
      </c>
      <c r="AF169" s="112">
        <f t="shared" si="34"/>
        <v>150</v>
      </c>
      <c r="AG169" s="112">
        <f t="shared" si="34"/>
        <v>2750</v>
      </c>
      <c r="AH169" s="112">
        <f t="shared" si="34"/>
        <v>27200</v>
      </c>
      <c r="AI169" s="112">
        <f t="shared" si="34"/>
        <v>2000</v>
      </c>
      <c r="AJ169" s="112">
        <f t="shared" si="34"/>
        <v>4000</v>
      </c>
      <c r="AK169" s="112">
        <f t="shared" si="34"/>
        <v>250</v>
      </c>
      <c r="AL169" s="112">
        <f t="shared" si="34"/>
        <v>0</v>
      </c>
      <c r="AM169" s="112">
        <f t="shared" si="34"/>
        <v>200</v>
      </c>
      <c r="AN169" s="112">
        <f t="shared" si="34"/>
        <v>625</v>
      </c>
      <c r="AO169" s="112">
        <f t="shared" si="34"/>
        <v>0</v>
      </c>
      <c r="AP169" s="112">
        <f t="shared" si="34"/>
        <v>1833.35</v>
      </c>
      <c r="AQ169" s="112">
        <f t="shared" si="34"/>
        <v>111.1875</v>
      </c>
      <c r="AR169" s="112">
        <f t="shared" si="34"/>
        <v>63.75</v>
      </c>
      <c r="AS169" s="112">
        <f t="shared" si="34"/>
        <v>0</v>
      </c>
      <c r="AT169" s="112">
        <f t="shared" si="34"/>
        <v>0</v>
      </c>
      <c r="AU169" s="112">
        <f t="shared" si="34"/>
        <v>0</v>
      </c>
      <c r="AV169" s="112">
        <f t="shared" si="34"/>
        <v>750</v>
      </c>
      <c r="AW169" s="112">
        <f t="shared" ref="AW169:AY169" si="35">SUM(AW141:AW168)</f>
        <v>0</v>
      </c>
      <c r="AX169" s="112">
        <f t="shared" si="35"/>
        <v>5000</v>
      </c>
      <c r="AY169" s="112">
        <f t="shared" si="35"/>
        <v>1750</v>
      </c>
      <c r="AZ169" s="113"/>
      <c r="BA169" s="98"/>
    </row>
    <row r="170" spans="1:53" ht="12.75" customHeight="1" thickTop="1" x14ac:dyDescent="0.3">
      <c r="A170" s="142">
        <v>6</v>
      </c>
      <c r="B170" s="143" t="s">
        <v>346</v>
      </c>
      <c r="C170" s="128"/>
      <c r="D170" s="147">
        <v>-100000</v>
      </c>
      <c r="E170" s="128" t="s">
        <v>347</v>
      </c>
      <c r="F170" s="147">
        <f t="shared" si="27"/>
        <v>152803.24750000006</v>
      </c>
      <c r="T170" s="31">
        <f>SUM(T169-C169)</f>
        <v>-431107.73</v>
      </c>
      <c r="U170" s="107">
        <f t="shared" ref="U170:AV170" si="36">SUM(U169+U140+U113+U84+U51+U17)</f>
        <v>1574.75</v>
      </c>
      <c r="V170" s="33">
        <f t="shared" si="36"/>
        <v>3501.9</v>
      </c>
      <c r="W170" s="33">
        <f t="shared" si="36"/>
        <v>5672.9775</v>
      </c>
      <c r="X170" s="33">
        <f t="shared" si="36"/>
        <v>76800</v>
      </c>
      <c r="Y170" s="33">
        <f t="shared" si="36"/>
        <v>3893.4375</v>
      </c>
      <c r="Z170" s="33">
        <f t="shared" si="36"/>
        <v>15000</v>
      </c>
      <c r="AA170" s="33">
        <f t="shared" si="36"/>
        <v>32875</v>
      </c>
      <c r="AB170" s="33">
        <f t="shared" si="36"/>
        <v>37500</v>
      </c>
      <c r="AC170" s="33">
        <f t="shared" si="36"/>
        <v>11750</v>
      </c>
      <c r="AD170" s="33">
        <f t="shared" si="36"/>
        <v>8370</v>
      </c>
      <c r="AE170" s="33">
        <f t="shared" si="36"/>
        <v>41665</v>
      </c>
      <c r="AF170" s="33">
        <f t="shared" si="36"/>
        <v>750</v>
      </c>
      <c r="AG170" s="33">
        <f t="shared" si="36"/>
        <v>13750</v>
      </c>
      <c r="AH170" s="33">
        <f t="shared" si="36"/>
        <v>136000</v>
      </c>
      <c r="AI170" s="33">
        <f t="shared" si="36"/>
        <v>10000</v>
      </c>
      <c r="AJ170" s="33">
        <f t="shared" si="36"/>
        <v>20000</v>
      </c>
      <c r="AK170" s="33">
        <f t="shared" si="36"/>
        <v>1250</v>
      </c>
      <c r="AL170" s="33">
        <f t="shared" si="36"/>
        <v>1500</v>
      </c>
      <c r="AM170" s="33">
        <f t="shared" si="36"/>
        <v>1000</v>
      </c>
      <c r="AN170" s="33">
        <f t="shared" si="36"/>
        <v>3125</v>
      </c>
      <c r="AO170" s="33">
        <f t="shared" si="36"/>
        <v>330.78</v>
      </c>
      <c r="AP170" s="33">
        <f t="shared" si="36"/>
        <v>9166.75</v>
      </c>
      <c r="AQ170" s="33">
        <f t="shared" si="36"/>
        <v>555.9375</v>
      </c>
      <c r="AR170" s="33">
        <f t="shared" si="36"/>
        <v>318.75</v>
      </c>
      <c r="AS170" s="33">
        <f t="shared" si="36"/>
        <v>1146</v>
      </c>
      <c r="AT170" s="33">
        <f t="shared" si="36"/>
        <v>19304.68</v>
      </c>
      <c r="AU170" s="33">
        <f t="shared" si="36"/>
        <v>8114.0700000000006</v>
      </c>
      <c r="AV170" s="33">
        <f t="shared" si="36"/>
        <v>4500</v>
      </c>
      <c r="AW170" s="33">
        <f t="shared" ref="AW170:AY170" si="37">SUM(AW169+AW140+AW113+AW84+AW51+AW17)</f>
        <v>4500</v>
      </c>
      <c r="AX170" s="33">
        <f t="shared" si="37"/>
        <v>25000</v>
      </c>
      <c r="AY170" s="33">
        <f t="shared" si="37"/>
        <v>10250</v>
      </c>
      <c r="AZ170" s="107">
        <f>SUM(U170:AY170)</f>
        <v>509165.03250000003</v>
      </c>
    </row>
    <row r="171" spans="1:53" ht="15" thickBot="1" x14ac:dyDescent="0.35">
      <c r="K171" s="40"/>
      <c r="U171" s="64">
        <v>7850</v>
      </c>
      <c r="V171" s="65">
        <v>7910</v>
      </c>
      <c r="W171" s="65">
        <v>7950</v>
      </c>
      <c r="X171" s="65">
        <v>6730</v>
      </c>
      <c r="Y171" s="65">
        <v>7010</v>
      </c>
      <c r="Z171" s="65">
        <v>5710</v>
      </c>
      <c r="AA171" s="65">
        <v>5130</v>
      </c>
      <c r="AB171" s="65">
        <v>5510</v>
      </c>
      <c r="AC171" s="65">
        <v>7650</v>
      </c>
      <c r="AD171" s="65">
        <v>5750</v>
      </c>
      <c r="AE171" s="65">
        <v>5520</v>
      </c>
      <c r="AF171" s="65">
        <v>7090</v>
      </c>
      <c r="AG171" s="65">
        <v>8570</v>
      </c>
      <c r="AH171" s="65">
        <v>8510</v>
      </c>
      <c r="AI171" s="65">
        <v>8520</v>
      </c>
      <c r="AJ171" s="65">
        <v>8530</v>
      </c>
      <c r="AK171" s="65">
        <v>8590</v>
      </c>
      <c r="AL171" s="65">
        <v>5170</v>
      </c>
      <c r="AM171" s="65">
        <v>6770</v>
      </c>
      <c r="AN171" s="65">
        <v>5540</v>
      </c>
      <c r="AO171" s="65">
        <f t="shared" ref="AO171:AV171" si="38">SUM(AO4)</f>
        <v>6590</v>
      </c>
      <c r="AP171" s="65">
        <f t="shared" si="38"/>
        <v>6510</v>
      </c>
      <c r="AQ171" s="65">
        <f t="shared" si="38"/>
        <v>5780</v>
      </c>
      <c r="AR171" s="65">
        <f t="shared" si="38"/>
        <v>8540</v>
      </c>
      <c r="AS171" s="65">
        <f t="shared" si="38"/>
        <v>6720</v>
      </c>
      <c r="AT171" s="65">
        <f t="shared" si="38"/>
        <v>5880</v>
      </c>
      <c r="AU171" s="65">
        <f t="shared" si="38"/>
        <v>6550</v>
      </c>
      <c r="AV171" s="65">
        <f t="shared" si="38"/>
        <v>7010</v>
      </c>
      <c r="AW171" s="65">
        <f t="shared" ref="AW171:AY171" si="39">SUM(AW4)</f>
        <v>5840</v>
      </c>
      <c r="AX171" s="65">
        <f t="shared" si="39"/>
        <v>9999</v>
      </c>
      <c r="AY171" s="65">
        <f t="shared" si="39"/>
        <v>7280</v>
      </c>
      <c r="AZ171" s="100">
        <f>SUM(AZ170-C169)</f>
        <v>5.8207660913467407E-11</v>
      </c>
    </row>
    <row r="172" spans="1:53" ht="15" customHeight="1" x14ac:dyDescent="0.3">
      <c r="B172" s="571" t="s">
        <v>137</v>
      </c>
      <c r="C172" s="571"/>
      <c r="D172" s="571"/>
      <c r="E172" s="571"/>
      <c r="F172" s="571"/>
      <c r="G172" s="571"/>
      <c r="H172" s="571"/>
      <c r="I172" s="571"/>
      <c r="J172" s="571"/>
      <c r="K172" s="571"/>
      <c r="L172" s="571"/>
      <c r="M172" s="571"/>
      <c r="N172" s="571"/>
      <c r="O172" s="571"/>
      <c r="P172" s="571"/>
      <c r="Q172" s="571"/>
      <c r="R172" s="571"/>
      <c r="S172" s="571"/>
      <c r="T172" s="571"/>
      <c r="U172" s="571"/>
      <c r="V172" s="571"/>
      <c r="W172" s="571"/>
      <c r="X172" s="571"/>
    </row>
    <row r="173" spans="1:53" x14ac:dyDescent="0.3">
      <c r="B173" s="572" t="s">
        <v>136</v>
      </c>
      <c r="C173" s="572"/>
      <c r="D173" s="572"/>
      <c r="E173" s="572"/>
      <c r="F173" s="572"/>
      <c r="G173" s="572"/>
      <c r="H173" s="572"/>
      <c r="I173" s="572"/>
      <c r="J173" s="572"/>
      <c r="K173" s="572"/>
      <c r="L173" s="572"/>
      <c r="M173" s="572"/>
      <c r="N173" s="572"/>
      <c r="O173" s="572"/>
      <c r="P173" s="572"/>
      <c r="Q173" s="572"/>
      <c r="R173" s="572"/>
      <c r="S173" s="572"/>
      <c r="T173" s="572"/>
      <c r="U173" s="572"/>
      <c r="V173" s="572"/>
      <c r="W173" s="572"/>
      <c r="X173" s="572"/>
    </row>
    <row r="174" spans="1:53" x14ac:dyDescent="0.3">
      <c r="B174" s="95" t="s">
        <v>135</v>
      </c>
      <c r="C174" s="95" t="s">
        <v>134</v>
      </c>
      <c r="D174" s="565" t="s">
        <v>133</v>
      </c>
      <c r="E174" s="565"/>
      <c r="F174" s="95" t="s">
        <v>132</v>
      </c>
      <c r="U174" s="26" t="s">
        <v>131</v>
      </c>
      <c r="V174" s="25"/>
      <c r="W174" s="24" t="s">
        <v>130</v>
      </c>
      <c r="X174" s="23" t="s">
        <v>129</v>
      </c>
    </row>
    <row r="175" spans="1:53" ht="15" customHeight="1" x14ac:dyDescent="0.3">
      <c r="C175" s="20" t="s">
        <v>128</v>
      </c>
      <c r="D175" s="20">
        <v>4308159</v>
      </c>
      <c r="E175" s="20" t="s">
        <v>114</v>
      </c>
      <c r="F175" s="19">
        <v>78820</v>
      </c>
      <c r="U175" s="576" t="s">
        <v>275</v>
      </c>
      <c r="V175" s="577"/>
      <c r="W175" s="18">
        <f>SUM(F175/2)</f>
        <v>39410</v>
      </c>
      <c r="X175" s="14">
        <v>2</v>
      </c>
    </row>
    <row r="176" spans="1:53" x14ac:dyDescent="0.3">
      <c r="B176" s="70" t="s">
        <v>263</v>
      </c>
      <c r="C176" s="17" t="s">
        <v>124</v>
      </c>
      <c r="D176" s="17">
        <v>6880</v>
      </c>
      <c r="E176" s="17" t="s">
        <v>112</v>
      </c>
      <c r="F176" s="16">
        <v>114059.67</v>
      </c>
      <c r="U176" s="85"/>
      <c r="V176" s="86"/>
      <c r="W176" s="18"/>
      <c r="X176" s="14"/>
    </row>
    <row r="177" spans="1:53" x14ac:dyDescent="0.3">
      <c r="B177" s="70" t="s">
        <v>263</v>
      </c>
      <c r="C177" s="17" t="s">
        <v>127</v>
      </c>
      <c r="D177" s="17">
        <v>6884</v>
      </c>
      <c r="E177" s="17" t="s">
        <v>112</v>
      </c>
      <c r="F177" s="16">
        <v>112371.34</v>
      </c>
      <c r="U177" s="93"/>
      <c r="V177" s="94"/>
      <c r="W177" s="18"/>
      <c r="X177" s="14"/>
    </row>
    <row r="178" spans="1:53" x14ac:dyDescent="0.3">
      <c r="B178" s="21"/>
      <c r="C178" s="20" t="s">
        <v>120</v>
      </c>
      <c r="D178" s="20">
        <v>4310638</v>
      </c>
      <c r="E178" s="20" t="s">
        <v>114</v>
      </c>
      <c r="F178" s="19">
        <v>262891.48</v>
      </c>
      <c r="U178" s="578" t="s">
        <v>274</v>
      </c>
      <c r="V178" s="579"/>
      <c r="W178" s="18">
        <f>SUM(F178-W179)/3</f>
        <v>74493.82666666666</v>
      </c>
      <c r="X178" s="14">
        <v>3</v>
      </c>
    </row>
    <row r="179" spans="1:53" ht="15" customHeight="1" x14ac:dyDescent="0.3">
      <c r="B179" s="70" t="s">
        <v>263</v>
      </c>
      <c r="C179" s="17" t="s">
        <v>118</v>
      </c>
      <c r="D179" s="17">
        <v>6885</v>
      </c>
      <c r="E179" s="17" t="s">
        <v>112</v>
      </c>
      <c r="F179" s="16">
        <v>119172.22</v>
      </c>
      <c r="U179" s="573" t="s">
        <v>273</v>
      </c>
      <c r="V179" s="574"/>
      <c r="W179" s="18">
        <f>W175</f>
        <v>39410</v>
      </c>
      <c r="X179" s="14">
        <v>1</v>
      </c>
    </row>
    <row r="180" spans="1:53" x14ac:dyDescent="0.3">
      <c r="B180" s="70" t="s">
        <v>263</v>
      </c>
      <c r="C180" s="17" t="s">
        <v>127</v>
      </c>
      <c r="D180" s="17">
        <v>6884</v>
      </c>
      <c r="E180" s="17" t="s">
        <v>112</v>
      </c>
      <c r="F180" s="16">
        <v>112371.34</v>
      </c>
      <c r="U180" s="93"/>
      <c r="V180" s="94"/>
      <c r="W180" s="18"/>
      <c r="X180" s="14"/>
    </row>
    <row r="181" spans="1:53" x14ac:dyDescent="0.3">
      <c r="B181" s="70" t="s">
        <v>263</v>
      </c>
      <c r="C181" s="17" t="s">
        <v>126</v>
      </c>
      <c r="D181" s="17">
        <v>6879</v>
      </c>
      <c r="E181" s="17" t="s">
        <v>112</v>
      </c>
      <c r="F181" s="16">
        <v>60782.47</v>
      </c>
      <c r="U181" s="93"/>
      <c r="V181" s="94"/>
      <c r="W181" s="18"/>
      <c r="X181" s="14"/>
    </row>
    <row r="182" spans="1:53" x14ac:dyDescent="0.3">
      <c r="B182" s="70" t="s">
        <v>263</v>
      </c>
      <c r="C182" s="17" t="s">
        <v>125</v>
      </c>
      <c r="D182" s="17">
        <v>6877</v>
      </c>
      <c r="E182" s="17" t="s">
        <v>112</v>
      </c>
      <c r="F182" s="16">
        <v>114059.67</v>
      </c>
      <c r="U182" s="93"/>
      <c r="V182" s="94"/>
      <c r="W182" s="18"/>
      <c r="X182" s="14"/>
    </row>
    <row r="183" spans="1:53" s="7" customFormat="1" x14ac:dyDescent="0.3">
      <c r="A183" s="8"/>
      <c r="B183" s="70" t="s">
        <v>263</v>
      </c>
      <c r="C183" s="17" t="s">
        <v>124</v>
      </c>
      <c r="D183" s="17">
        <v>6880</v>
      </c>
      <c r="E183" s="17" t="s">
        <v>112</v>
      </c>
      <c r="F183" s="16">
        <v>114059.67</v>
      </c>
      <c r="G183" s="84"/>
      <c r="H183" s="84"/>
      <c r="I183" s="84"/>
      <c r="J183" s="84"/>
      <c r="L183" s="38"/>
      <c r="U183" s="93"/>
      <c r="V183" s="94"/>
      <c r="W183" s="18"/>
      <c r="X183" s="14"/>
      <c r="AY183" s="62"/>
      <c r="AZ183" s="121"/>
      <c r="BA183" s="97"/>
    </row>
    <row r="184" spans="1:53" s="7" customFormat="1" x14ac:dyDescent="0.3">
      <c r="A184" s="8"/>
      <c r="B184" s="21"/>
      <c r="C184" s="20" t="s">
        <v>123</v>
      </c>
      <c r="D184" s="20">
        <v>4313171</v>
      </c>
      <c r="E184" s="20" t="s">
        <v>114</v>
      </c>
      <c r="F184" s="19">
        <v>81261.600000000006</v>
      </c>
      <c r="G184" s="84"/>
      <c r="H184" s="84"/>
      <c r="I184" s="84"/>
      <c r="J184" s="84"/>
      <c r="L184" s="38"/>
      <c r="U184" s="573" t="s">
        <v>272</v>
      </c>
      <c r="V184" s="574"/>
      <c r="W184" s="18">
        <f>SUM(F184/2)</f>
        <v>40630.800000000003</v>
      </c>
      <c r="X184" s="14">
        <v>2</v>
      </c>
      <c r="AY184" s="62"/>
      <c r="AZ184" s="121"/>
      <c r="BA184" s="97"/>
    </row>
    <row r="185" spans="1:53" s="7" customFormat="1" ht="15" customHeight="1" x14ac:dyDescent="0.3">
      <c r="A185" s="8"/>
      <c r="B185" s="70" t="s">
        <v>263</v>
      </c>
      <c r="C185" s="17" t="s">
        <v>119</v>
      </c>
      <c r="D185" s="17">
        <v>6895</v>
      </c>
      <c r="E185" s="17" t="s">
        <v>112</v>
      </c>
      <c r="F185" s="16">
        <v>119172.22</v>
      </c>
      <c r="G185" s="84"/>
      <c r="H185" s="84"/>
      <c r="I185" s="84"/>
      <c r="J185" s="84"/>
      <c r="L185" s="38"/>
      <c r="U185" s="93"/>
      <c r="V185" s="94"/>
      <c r="W185" s="18"/>
      <c r="X185" s="14"/>
      <c r="AY185" s="62"/>
      <c r="AZ185" s="121"/>
      <c r="BA185" s="97"/>
    </row>
    <row r="186" spans="1:53" s="7" customFormat="1" x14ac:dyDescent="0.3">
      <c r="A186" s="8"/>
      <c r="B186" s="70" t="s">
        <v>263</v>
      </c>
      <c r="C186" s="17" t="s">
        <v>120</v>
      </c>
      <c r="D186" s="17">
        <v>6894</v>
      </c>
      <c r="E186" s="17" t="s">
        <v>112</v>
      </c>
      <c r="F186" s="16">
        <v>119172.22</v>
      </c>
      <c r="G186" s="84"/>
      <c r="H186" s="84"/>
      <c r="I186" s="84"/>
      <c r="J186" s="84"/>
      <c r="L186" s="38"/>
      <c r="U186" s="93"/>
      <c r="V186" s="94"/>
      <c r="W186" s="18"/>
      <c r="X186" s="14"/>
      <c r="AY186" s="62"/>
      <c r="AZ186" s="121"/>
      <c r="BA186" s="97"/>
    </row>
    <row r="187" spans="1:53" s="7" customFormat="1" x14ac:dyDescent="0.3">
      <c r="A187" s="8"/>
      <c r="B187" s="21"/>
      <c r="C187" s="20" t="s">
        <v>122</v>
      </c>
      <c r="D187" s="20">
        <v>4315955</v>
      </c>
      <c r="E187" s="20" t="s">
        <v>114</v>
      </c>
      <c r="F187" s="19">
        <v>342423.47</v>
      </c>
      <c r="G187" s="84"/>
      <c r="H187" s="84"/>
      <c r="I187" s="84"/>
      <c r="J187" s="84"/>
      <c r="L187" s="38"/>
      <c r="U187" s="573" t="s">
        <v>271</v>
      </c>
      <c r="V187" s="574"/>
      <c r="W187" s="18">
        <f>SUM(F187-F192)/3</f>
        <v>100597.55666666666</v>
      </c>
      <c r="X187" s="14">
        <v>3</v>
      </c>
      <c r="AY187" s="62"/>
      <c r="AZ187" s="121"/>
      <c r="BA187" s="97"/>
    </row>
    <row r="188" spans="1:53" s="7" customFormat="1" ht="15" customHeight="1" x14ac:dyDescent="0.3">
      <c r="A188" s="8"/>
      <c r="B188" s="70" t="s">
        <v>263</v>
      </c>
      <c r="C188" s="17" t="s">
        <v>121</v>
      </c>
      <c r="D188" s="17">
        <v>6897</v>
      </c>
      <c r="E188" s="17" t="s">
        <v>112</v>
      </c>
      <c r="F188" s="16">
        <v>185340.63</v>
      </c>
      <c r="G188" s="84"/>
      <c r="H188" s="84"/>
      <c r="I188" s="84"/>
      <c r="J188" s="84"/>
      <c r="L188" s="38"/>
      <c r="U188" s="573" t="s">
        <v>270</v>
      </c>
      <c r="V188" s="574"/>
      <c r="W188" s="18">
        <f>SUM(W192)</f>
        <v>40630.800000000003</v>
      </c>
      <c r="X188" s="14">
        <v>1</v>
      </c>
      <c r="AY188" s="62"/>
      <c r="AZ188" s="121"/>
      <c r="BA188" s="97"/>
    </row>
    <row r="189" spans="1:53" s="7" customFormat="1" x14ac:dyDescent="0.3">
      <c r="A189" s="8"/>
      <c r="B189" s="70" t="s">
        <v>263</v>
      </c>
      <c r="C189" s="17" t="s">
        <v>120</v>
      </c>
      <c r="D189" s="17">
        <v>6894</v>
      </c>
      <c r="E189" s="17" t="s">
        <v>112</v>
      </c>
      <c r="F189" s="16">
        <v>119172.22</v>
      </c>
      <c r="G189" s="84"/>
      <c r="H189" s="84"/>
      <c r="I189" s="84"/>
      <c r="J189" s="84"/>
      <c r="L189" s="38"/>
      <c r="U189" s="93"/>
      <c r="V189" s="94"/>
      <c r="W189" s="18"/>
      <c r="X189" s="14"/>
      <c r="AY189" s="62"/>
      <c r="AZ189" s="121"/>
      <c r="BA189" s="97"/>
    </row>
    <row r="190" spans="1:53" s="7" customFormat="1" x14ac:dyDescent="0.3">
      <c r="A190" s="8"/>
      <c r="B190" s="70" t="s">
        <v>263</v>
      </c>
      <c r="C190" s="17" t="s">
        <v>119</v>
      </c>
      <c r="D190" s="17">
        <v>6895</v>
      </c>
      <c r="E190" s="17" t="s">
        <v>112</v>
      </c>
      <c r="F190" s="16">
        <v>119172.22</v>
      </c>
      <c r="G190" s="84"/>
      <c r="H190" s="84"/>
      <c r="I190" s="84"/>
      <c r="J190" s="84"/>
      <c r="L190" s="38"/>
      <c r="U190" s="93"/>
      <c r="V190" s="94"/>
      <c r="W190" s="18"/>
      <c r="X190" s="14"/>
      <c r="AY190" s="62"/>
      <c r="AZ190" s="121"/>
      <c r="BA190" s="97"/>
    </row>
    <row r="191" spans="1:53" s="7" customFormat="1" x14ac:dyDescent="0.3">
      <c r="A191" s="8"/>
      <c r="B191" s="70" t="s">
        <v>263</v>
      </c>
      <c r="C191" s="17" t="s">
        <v>118</v>
      </c>
      <c r="D191" s="17">
        <v>6885</v>
      </c>
      <c r="E191" s="17" t="s">
        <v>112</v>
      </c>
      <c r="F191" s="16">
        <v>119172.22</v>
      </c>
      <c r="G191" s="84"/>
      <c r="H191" s="84"/>
      <c r="I191" s="84"/>
      <c r="J191" s="84"/>
      <c r="L191" s="38"/>
      <c r="U191" s="93"/>
      <c r="V191" s="94"/>
      <c r="W191" s="18"/>
      <c r="X191" s="14"/>
      <c r="AY191" s="62"/>
      <c r="AZ191" s="121"/>
      <c r="BA191" s="97"/>
    </row>
    <row r="192" spans="1:53" s="7" customFormat="1" x14ac:dyDescent="0.3">
      <c r="A192" s="8"/>
      <c r="B192" s="21"/>
      <c r="C192" s="20" t="s">
        <v>117</v>
      </c>
      <c r="D192" s="20">
        <v>4317338</v>
      </c>
      <c r="E192" s="20" t="s">
        <v>114</v>
      </c>
      <c r="F192" s="19">
        <v>40630.800000000003</v>
      </c>
      <c r="G192" s="84"/>
      <c r="H192" s="84"/>
      <c r="I192" s="84"/>
      <c r="J192" s="84"/>
      <c r="L192" s="38"/>
      <c r="U192" s="573" t="s">
        <v>276</v>
      </c>
      <c r="V192" s="574"/>
      <c r="W192" s="18">
        <f>SUM(F192)</f>
        <v>40630.800000000003</v>
      </c>
      <c r="X192" s="14">
        <v>1</v>
      </c>
      <c r="AY192" s="62"/>
      <c r="AZ192" s="121"/>
      <c r="BA192" s="97"/>
    </row>
    <row r="193" spans="1:53" s="7" customFormat="1" x14ac:dyDescent="0.3">
      <c r="A193" s="8"/>
      <c r="B193" s="70" t="s">
        <v>263</v>
      </c>
      <c r="C193" s="17" t="s">
        <v>116</v>
      </c>
      <c r="D193" s="17">
        <v>6898</v>
      </c>
      <c r="E193" s="17" t="s">
        <v>112</v>
      </c>
      <c r="F193" s="16">
        <v>119172.22</v>
      </c>
      <c r="G193" s="84"/>
      <c r="H193" s="84"/>
      <c r="I193" s="84"/>
      <c r="J193" s="84"/>
      <c r="L193" s="38"/>
      <c r="U193" s="93"/>
      <c r="V193" s="94"/>
      <c r="W193" s="18"/>
      <c r="X193" s="14"/>
      <c r="AY193" s="62"/>
      <c r="AZ193" s="121"/>
      <c r="BA193" s="97"/>
    </row>
    <row r="194" spans="1:53" s="7" customFormat="1" x14ac:dyDescent="0.3">
      <c r="A194" s="8"/>
      <c r="B194" s="21"/>
      <c r="C194" s="20" t="s">
        <v>115</v>
      </c>
      <c r="D194" s="20">
        <v>4318254</v>
      </c>
      <c r="E194" s="20" t="s">
        <v>114</v>
      </c>
      <c r="F194" s="19">
        <v>40630.800000000003</v>
      </c>
      <c r="G194" s="84"/>
      <c r="H194" s="84"/>
      <c r="I194" s="84"/>
      <c r="J194" s="84"/>
      <c r="L194" s="38"/>
      <c r="U194" s="573" t="s">
        <v>277</v>
      </c>
      <c r="V194" s="574"/>
      <c r="W194" s="18">
        <f>SUM(W192)</f>
        <v>40630.800000000003</v>
      </c>
      <c r="X194" s="14">
        <v>1</v>
      </c>
      <c r="AY194" s="62"/>
      <c r="AZ194" s="121"/>
      <c r="BA194" s="97"/>
    </row>
    <row r="195" spans="1:53" s="7" customFormat="1" x14ac:dyDescent="0.3">
      <c r="A195" s="8"/>
      <c r="B195" s="70" t="s">
        <v>263</v>
      </c>
      <c r="C195" s="17" t="s">
        <v>113</v>
      </c>
      <c r="D195" s="17">
        <v>6901</v>
      </c>
      <c r="E195" s="17" t="s">
        <v>112</v>
      </c>
      <c r="F195" s="16">
        <v>119172.22</v>
      </c>
      <c r="G195" s="84"/>
      <c r="H195" s="84"/>
      <c r="I195" s="84"/>
      <c r="J195" s="84"/>
      <c r="L195" s="38"/>
      <c r="U195" s="22"/>
      <c r="V195" s="14"/>
      <c r="W195" s="15"/>
      <c r="X195" s="14"/>
      <c r="AY195" s="62"/>
      <c r="AZ195" s="121"/>
      <c r="BA195" s="97"/>
    </row>
    <row r="196" spans="1:53" s="7" customFormat="1" ht="9.75" customHeight="1" x14ac:dyDescent="0.3">
      <c r="A196" s="8"/>
      <c r="F196" s="13"/>
      <c r="G196" s="84"/>
      <c r="H196" s="84"/>
      <c r="I196" s="84"/>
      <c r="J196" s="84"/>
      <c r="L196" s="38"/>
      <c r="U196" s="121"/>
      <c r="AY196" s="62"/>
      <c r="AZ196" s="121"/>
      <c r="BA196" s="97"/>
    </row>
    <row r="197" spans="1:53" s="7" customFormat="1" x14ac:dyDescent="0.3">
      <c r="A197" s="575" t="s">
        <v>111</v>
      </c>
      <c r="B197" s="575"/>
      <c r="C197" s="575"/>
      <c r="D197" s="12">
        <f>SUM(103+39+45+51+36+12)/6</f>
        <v>47.666666666666664</v>
      </c>
      <c r="E197" s="11" t="s">
        <v>109</v>
      </c>
      <c r="F197" s="10">
        <f>SUM(C194+D197)</f>
        <v>43899.666666666664</v>
      </c>
      <c r="G197" s="84"/>
      <c r="H197" s="84"/>
      <c r="I197" s="84"/>
      <c r="J197" s="84"/>
      <c r="L197" s="38"/>
      <c r="U197" s="122">
        <f>SUM(F197+D197)</f>
        <v>43947.333333333328</v>
      </c>
      <c r="V197" s="10">
        <f>SUM(U197+D197)</f>
        <v>43994.999999999993</v>
      </c>
      <c r="W197" s="9">
        <f>SUM(V197+D197)</f>
        <v>44042.666666666657</v>
      </c>
      <c r="X197" s="9">
        <f>SUM(W197+D197)</f>
        <v>44090.333333333321</v>
      </c>
      <c r="AY197" s="62"/>
      <c r="AZ197" s="121"/>
      <c r="BA197" s="97"/>
    </row>
    <row r="198" spans="1:53" s="7" customFormat="1" x14ac:dyDescent="0.3">
      <c r="A198" s="575" t="s">
        <v>110</v>
      </c>
      <c r="B198" s="575"/>
      <c r="C198" s="575"/>
      <c r="D198" s="12">
        <f>SUM(100+96)/2</f>
        <v>98</v>
      </c>
      <c r="E198" s="11" t="s">
        <v>109</v>
      </c>
      <c r="F198" s="10">
        <f>SUM(C187+D198)</f>
        <v>43902</v>
      </c>
      <c r="G198" s="84"/>
      <c r="H198" s="84"/>
      <c r="I198" s="84"/>
      <c r="J198" s="84"/>
      <c r="L198" s="38"/>
      <c r="U198" s="122">
        <f>SUM(F198+D198)</f>
        <v>44000</v>
      </c>
      <c r="V198" s="10">
        <f>SUM(U198+D198)</f>
        <v>44098</v>
      </c>
      <c r="W198" s="9">
        <f>SUM(V198+D198)</f>
        <v>44196</v>
      </c>
      <c r="X198" s="9">
        <f>SUM(W198+D198)</f>
        <v>44294</v>
      </c>
      <c r="AY198" s="62"/>
      <c r="AZ198" s="121"/>
      <c r="BA198" s="97"/>
    </row>
  </sheetData>
  <mergeCells count="22">
    <mergeCell ref="U175:V175"/>
    <mergeCell ref="A1:G1"/>
    <mergeCell ref="G4:J4"/>
    <mergeCell ref="H39:I39"/>
    <mergeCell ref="H72:I72"/>
    <mergeCell ref="H102:I102"/>
    <mergeCell ref="U194:V194"/>
    <mergeCell ref="A197:C197"/>
    <mergeCell ref="A198:C198"/>
    <mergeCell ref="A3:N3"/>
    <mergeCell ref="A2:F2"/>
    <mergeCell ref="U178:V178"/>
    <mergeCell ref="U179:V179"/>
    <mergeCell ref="U184:V184"/>
    <mergeCell ref="U187:V187"/>
    <mergeCell ref="U188:V188"/>
    <mergeCell ref="U192:V192"/>
    <mergeCell ref="H130:I130"/>
    <mergeCell ref="H159:I159"/>
    <mergeCell ref="B172:X172"/>
    <mergeCell ref="B173:X173"/>
    <mergeCell ref="D174:E174"/>
  </mergeCells>
  <printOptions horizontalCentered="1"/>
  <pageMargins left="0.25" right="0.25" top="0.25" bottom="0.25" header="0" footer="0"/>
  <pageSetup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16</vt:i4>
      </vt:variant>
    </vt:vector>
  </HeadingPairs>
  <TitlesOfParts>
    <vt:vector size="31" baseType="lpstr">
      <vt:lpstr>Mid Year Budget _ Cash Flows </vt:lpstr>
      <vt:lpstr>Cashflow Projection 022920</vt:lpstr>
      <vt:lpstr>Mid Year Proj-Actual 022920</vt:lpstr>
      <vt:lpstr>Mid Year Budget _ P&amp;L</vt:lpstr>
      <vt:lpstr>BB Example 3 _ Cash Flows</vt:lpstr>
      <vt:lpstr>BB Example 3 _ P&amp;L</vt:lpstr>
      <vt:lpstr>BB Example 2 _ Cash Flows</vt:lpstr>
      <vt:lpstr>BB Example 2 _ P&amp;L</vt:lpstr>
      <vt:lpstr>BB Example 4 _ Cash Flows</vt:lpstr>
      <vt:lpstr>BB Example 4 _ P&amp;L </vt:lpstr>
      <vt:lpstr>Example 1 _ Cash Flows</vt:lpstr>
      <vt:lpstr>Example 1 _ P&amp;L</vt:lpstr>
      <vt:lpstr>CCD - Mnthly Bills</vt:lpstr>
      <vt:lpstr>TS 2019_2020 Est Travel</vt:lpstr>
      <vt:lpstr>MMWW Repayment Sch</vt:lpstr>
      <vt:lpstr>'BB Example 2 _ Cash Flows'!Print_Area</vt:lpstr>
      <vt:lpstr>'BB Example 2 _ P&amp;L'!Print_Area</vt:lpstr>
      <vt:lpstr>'BB Example 3 _ Cash Flows'!Print_Area</vt:lpstr>
      <vt:lpstr>'BB Example 3 _ P&amp;L'!Print_Area</vt:lpstr>
      <vt:lpstr>'BB Example 4 _ Cash Flows'!Print_Area</vt:lpstr>
      <vt:lpstr>'BB Example 4 _ P&amp;L '!Print_Area</vt:lpstr>
      <vt:lpstr>'Cashflow Projection 022920'!Print_Area</vt:lpstr>
      <vt:lpstr>'CCD - Mnthly Bills'!Print_Area</vt:lpstr>
      <vt:lpstr>'Example 1 _ Cash Flows'!Print_Area</vt:lpstr>
      <vt:lpstr>'Example 1 _ P&amp;L'!Print_Area</vt:lpstr>
      <vt:lpstr>'Mid Year Budget _ Cash Flows '!Print_Area</vt:lpstr>
      <vt:lpstr>'Mid Year Budget _ P&amp;L'!Print_Area</vt:lpstr>
      <vt:lpstr>'Mid Year Proj-Actual 022920'!Print_Area</vt:lpstr>
      <vt:lpstr>'MMWW Repayment Sch'!Print_Area</vt:lpstr>
      <vt:lpstr>'TS 2019_2020 Est Travel'!Print_Area</vt:lpstr>
      <vt:lpstr>'Mid Year Proj-Actual 022920'!Print_Titles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Crudo, Teresa</cp:lastModifiedBy>
  <cp:lastPrinted>2020-05-02T01:43:10Z</cp:lastPrinted>
  <dcterms:created xsi:type="dcterms:W3CDTF">2020-01-25T00:15:31Z</dcterms:created>
  <dcterms:modified xsi:type="dcterms:W3CDTF">2020-05-02T01:50:55Z</dcterms:modified>
</cp:coreProperties>
</file>